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aramètres" sheetId="1" state="visible" r:id="rId3"/>
    <sheet name="Suivi par lot" sheetId="2" state="visible" r:id="rId4"/>
    <sheet name="Avenants" sheetId="3" state="visible" r:id="rId5"/>
    <sheet name="Synthèse" sheetId="4" state="visible" r:id="rId6"/>
  </sheets>
  <definedNames>
    <definedName function="false" hidden="false" name="PROVISION_ALEAS" vbProcedure="false">Paramètres!$B$10</definedName>
    <definedName function="false" hidden="false" name="PROVISION_REVISION" vbProcedure="false">Paramètres!$B$11</definedName>
    <definedName function="false" hidden="false" name="TAUX_RETENUE" vbProcedure="false">Paramètres!$B$8</definedName>
    <definedName function="false" hidden="false" name="TOLERANCE" vbProcedure="false">Paramètres!$B$12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<sst xmlns="http://schemas.openxmlformats.org/spreadsheetml/2006/main" count="149" uniqueCount="119">
  <si>
    <t xml:space="preserve">Suivi budgétaire de chantier — paramètres</t>
  </si>
  <si>
    <t xml:space="preserve">Modèle gratuit CAP IMMO · données d'exemple fictives, à remplacer · cellules jaunes = saisie · tous les montants en euros hors taxes</t>
  </si>
  <si>
    <t xml:space="preserve">Paramètre</t>
  </si>
  <si>
    <t xml:space="preserve">Valeur</t>
  </si>
  <si>
    <t xml:space="preserve">Précision</t>
  </si>
  <si>
    <t xml:space="preserve">Opération</t>
  </si>
  <si>
    <t xml:space="preserve">Résidence Les Platanes</t>
  </si>
  <si>
    <t xml:space="preserve">Exemple fictif</t>
  </si>
  <si>
    <t xml:space="preserve">Localisation</t>
  </si>
  <si>
    <t xml:space="preserve">Date du point</t>
  </si>
  <si>
    <t xml:space="preserve">Fin du mois des dernières situations saisies</t>
  </si>
  <si>
    <t xml:space="preserve">Taux de retenue de garantie</t>
  </si>
  <si>
    <t xml:space="preserve">5 % au plus des acomptes (loi du 16 juillet 1971) ; le marché le précise</t>
  </si>
  <si>
    <t xml:space="preserve">Contrôle du taux de retenue</t>
  </si>
  <si>
    <t xml:space="preserve">Calculé</t>
  </si>
  <si>
    <t xml:space="preserve">Provision pour aléas</t>
  </si>
  <si>
    <t xml:space="preserve">Tenue à part des lots, pour se consommer de façon visible</t>
  </si>
  <si>
    <t xml:space="preserve">Provision pour révision des prix</t>
  </si>
  <si>
    <t xml:space="preserve">Marchés révisables : montant estimé à la date du point</t>
  </si>
  <si>
    <t xml:space="preserve">Tolérance de dépassement d'un lot</t>
  </si>
  <si>
    <t xml:space="preserve">En % du budget du lot : au-delà, le lot est signalé</t>
  </si>
  <si>
    <t xml:space="preserve">Le budget de chaque lot est celui du bilan présenté à la banque, découpé dans la même maille que les marchés : on le fige, on ne le réécrit pas à chaque écart.</t>
  </si>
  <si>
    <t xml:space="preserve">Engagé = marchés + avenants signés. Facturé = situations cumulées. Payé = facturé − situations en attente − retenue de garantie.</t>
  </si>
  <si>
    <t xml:space="preserve">Les montants sont hors taxes. Le marché précise si la retenue se calcule sur le HT ou le TTC des acomptes : le modèle raisonne en HT.</t>
  </si>
  <si>
    <t xml:space="preserve">Suivi par lot technique</t>
  </si>
  <si>
    <t xml:space="preserve">Cellules jaunes = saisie, le reste se calcule · montants HT · les avenants viennent de l'onglet Avenants · ajoutez un lot en insérant une ligne au milieu du tableau et en recopiant les formules de la ligne du dessus</t>
  </si>
  <si>
    <t xml:space="preserve">Marché</t>
  </si>
  <si>
    <t xml:space="preserve">Situations cumulées (travaux exécutés depuis le début du marché, vérifiés par le maître d'œuvre)</t>
  </si>
  <si>
    <t xml:space="preserve">Facturé, payé, reste</t>
  </si>
  <si>
    <t xml:space="preserve">À terminaison</t>
  </si>
  <si>
    <t xml:space="preserve">Lot technique</t>
  </si>
  <si>
    <t xml:space="preserve">Entreprise</t>
  </si>
  <si>
    <t xml:space="preserve">Budget HT</t>
  </si>
  <si>
    <t xml:space="preserve">Marché initial HT</t>
  </si>
  <si>
    <t xml:space="preserve">Avenants signés</t>
  </si>
  <si>
    <t xml:space="preserve">Engagé HT</t>
  </si>
  <si>
    <t xml:space="preserve">Écart engagé / budget</t>
  </si>
  <si>
    <t xml:space="preserve">Avenants en discussion</t>
  </si>
  <si>
    <t xml:space="preserve">Facturé cumulé</t>
  </si>
  <si>
    <t xml:space="preserve">Facturé en % de l'engagé</t>
  </si>
  <si>
    <t xml:space="preserve">Dont en attente de règlement</t>
  </si>
  <si>
    <t xml:space="preserve">Caution à la place de la retenue ?</t>
  </si>
  <si>
    <t xml:space="preserve">Retenue de garantie</t>
  </si>
  <si>
    <t xml:space="preserve">Payé</t>
  </si>
  <si>
    <t xml:space="preserve">Reste à payer (attente + retenue)</t>
  </si>
  <si>
    <t xml:space="preserve">Reste à facturer</t>
  </si>
  <si>
    <t xml:space="preserve">Coût à terminaison</t>
  </si>
  <si>
    <t xml:space="preserve">Écart à terminaison / budget</t>
  </si>
  <si>
    <t xml:space="preserve">Signal</t>
  </si>
  <si>
    <t xml:space="preserve">Terrassement, fondations</t>
  </si>
  <si>
    <t xml:space="preserve">Delmas TP</t>
  </si>
  <si>
    <t xml:space="preserve">Non</t>
  </si>
  <si>
    <t xml:space="preserve">Gros œuvre</t>
  </si>
  <si>
    <t xml:space="preserve">SARL Bâti Sud</t>
  </si>
  <si>
    <t xml:space="preserve">Charpente, couverture, étanchéité</t>
  </si>
  <si>
    <t xml:space="preserve">Couvertures Marin</t>
  </si>
  <si>
    <t xml:space="preserve">Oui</t>
  </si>
  <si>
    <t xml:space="preserve">Menuiseries extérieures</t>
  </si>
  <si>
    <t xml:space="preserve">Menuiseries Aubry</t>
  </si>
  <si>
    <t xml:space="preserve">Plomberie, chauffage, ventilation</t>
  </si>
  <si>
    <t xml:space="preserve">Thermique Garnier</t>
  </si>
  <si>
    <t xml:space="preserve">Électricité</t>
  </si>
  <si>
    <t xml:space="preserve">Électricité Roux</t>
  </si>
  <si>
    <t xml:space="preserve">Cloisons, doublages, peinture</t>
  </si>
  <si>
    <t xml:space="preserve">Revêtements de sols</t>
  </si>
  <si>
    <t xml:space="preserve">VRD et aménagements extérieurs</t>
  </si>
  <si>
    <t xml:space="preserve">Paysages Lambert</t>
  </si>
  <si>
    <t xml:space="preserve">Ascenseur</t>
  </si>
  <si>
    <t xml:space="preserve">Ascenseurs Valmy</t>
  </si>
  <si>
    <t xml:space="preserve">Total travaux</t>
  </si>
  <si>
    <t xml:space="preserve">Avenants</t>
  </si>
  <si>
    <t xml:space="preserve">Un avenant par ligne · « Signé » entre dans l'engagé, « En discussion » seulement dans le coût à terminaison · les moins-values se saisissent en négatif</t>
  </si>
  <si>
    <t xml:space="preserve">N°</t>
  </si>
  <si>
    <t xml:space="preserve">Objet</t>
  </si>
  <si>
    <t xml:space="preserve">Montant HT</t>
  </si>
  <si>
    <t xml:space="preserve">Statut</t>
  </si>
  <si>
    <t xml:space="preserve">Date</t>
  </si>
  <si>
    <t xml:space="preserve">Purge de roche, fondations approfondies</t>
  </si>
  <si>
    <t xml:space="preserve">Signé</t>
  </si>
  <si>
    <t xml:space="preserve">Reprise d'un plancher du R+1 après relevé géomètre</t>
  </si>
  <si>
    <t xml:space="preserve">Trémie supplémentaire, local vélos</t>
  </si>
  <si>
    <t xml:space="preserve">Reprise d'un second plancher (pièces en cours d'échange)</t>
  </si>
  <si>
    <t xml:space="preserve">En discussion</t>
  </si>
  <si>
    <t xml:space="preserve">Volets roulants motorisés</t>
  </si>
  <si>
    <t xml:space="preserve">Prises de recharge pour véhicules électriques</t>
  </si>
  <si>
    <t xml:space="preserve">Moins-value : suppression d'un muret</t>
  </si>
  <si>
    <t xml:space="preserve">Total des avenants signés</t>
  </si>
  <si>
    <t xml:space="preserve">Total des avenants en discussion</t>
  </si>
  <si>
    <t xml:space="preserve">Avenants rattachés à un lot connu ?</t>
  </si>
  <si>
    <t xml:space="preserve">Synthèse : budget, aléas et coût à terminaison</t>
  </si>
  <si>
    <t xml:space="preserve">Calculé à partir des autres onglets · aucune saisie · montants HT</t>
  </si>
  <si>
    <t xml:space="preserve">Indicateur</t>
  </si>
  <si>
    <t xml:space="preserve">Les trois montants</t>
  </si>
  <si>
    <t xml:space="preserve">Budget travaux</t>
  </si>
  <si>
    <t xml:space="preserve">Budget du bilan, découpé par lot</t>
  </si>
  <si>
    <t xml:space="preserve">Engagé : marchés et avenants signés</t>
  </si>
  <si>
    <t xml:space="preserve">Facturé : situations cumulées</t>
  </si>
  <si>
    <t xml:space="preserve">Facturé − situations en attente − retenue de garantie</t>
  </si>
  <si>
    <t xml:space="preserve">Ce qui reste</t>
  </si>
  <si>
    <t xml:space="preserve">Situations en attente de règlement</t>
  </si>
  <si>
    <t xml:space="preserve">Retenue de garantie cumulée, à consigner</t>
  </si>
  <si>
    <t xml:space="preserve">Ou remplacée par une caution lot par lot</t>
  </si>
  <si>
    <t xml:space="preserve">Facturé − payé</t>
  </si>
  <si>
    <t xml:space="preserve">Engagé − facturé, lot par lot</t>
  </si>
  <si>
    <t xml:space="preserve">Du budget à la terminaison</t>
  </si>
  <si>
    <t xml:space="preserve">Budget total avec aléas</t>
  </si>
  <si>
    <t xml:space="preserve">Coût à terminaison, révision des prix comprise</t>
  </si>
  <si>
    <t xml:space="preserve">Engagé + reste à engager au budget + avenants en discussion + révision</t>
  </si>
  <si>
    <t xml:space="preserve">Écart avec le budget travaux</t>
  </si>
  <si>
    <t xml:space="preserve">Positif : le chantier coûtera plus que prévu</t>
  </si>
  <si>
    <t xml:space="preserve">Aléas restants après absorption de l'écart</t>
  </si>
  <si>
    <t xml:space="preserve">Part des aléas consommée</t>
  </si>
  <si>
    <t xml:space="preserve">Contrôles</t>
  </si>
  <si>
    <t xml:space="preserve">Lots à examiner</t>
  </si>
  <si>
    <t xml:space="preserve">Dépassement, facturé au-delà de l'engagé, cumul incohérent</t>
  </si>
  <si>
    <t xml:space="preserve">Contrôle du taux de retenue de garantie</t>
  </si>
  <si>
    <t xml:space="preserve">5 % au plus, loi du 16 juillet 1971</t>
  </si>
  <si>
    <t xml:space="preserve">Avenants signés : onglet Avenants = marchés</t>
  </si>
  <si>
    <t xml:space="preserve">Facturé = payé + attente + retenue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</si>
</sst>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0.0\ %"/>
    <numFmt numFmtId="167" formatCode="#,##0&quot; €&quot;;\-#,##0&quot; €&quot;;\–"/>
    <numFmt numFmtId="168" formatCode="mmm\ yyyy"/>
    <numFmt numFmtId="169" formatCode="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A1228"/>
      <name val="Calibri"/>
      <family val="0"/>
      <charset val="1"/>
    </font>
    <font>
      <i val="true"/>
      <sz val="10"/>
      <color rgb="FF556078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  <font>
      <sz val="11"/>
      <color rgb="FF1F4FBF"/>
      <name val="Calibri"/>
      <family val="0"/>
      <charset val="1"/>
    </font>
    <font>
      <b val="true"/>
      <sz val="11"/>
      <color rgb="FF0A1228"/>
      <name val="Calibri"/>
      <family val="0"/>
      <charset val="1"/>
    </font>
    <font>
      <b val="true"/>
      <sz val="11"/>
      <color rgb="FFFFFF99"/>
      <name val="Calibri"/>
      <family val="0"/>
      <charset val="1"/>
    </font>
    <font>
      <b val="true"/>
      <sz val="11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A1228"/>
        <bgColor rgb="FF000000"/>
      </patternFill>
    </fill>
    <fill>
      <patternFill patternType="solid">
        <fgColor rgb="FFFFF8DC"/>
        <bgColor rgb="FFFFFFFF"/>
      </patternFill>
    </fill>
    <fill>
      <patternFill patternType="solid">
        <fgColor rgb="FFE8EDF8"/>
        <bgColor rgb="FFD9E2F5"/>
      </patternFill>
    </fill>
    <fill>
      <patternFill patternType="solid">
        <fgColor rgb="FFD9E2F5"/>
        <bgColor rgb="FFE8EDF8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D0DE"/>
      </bottom>
      <diagonal/>
    </border>
    <border diagonalUp="false" diagonalDown="false">
      <left/>
      <right/>
      <top style="medium">
        <color rgb="FF0A1228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5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1" fillId="5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  <color rgb="FF9B1C1C"/>
      </font>
      <fill>
        <patternFill>
          <bgColor rgb="FFF8D7D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C"/>
      <rgbColor rgb="FFE8EDF8"/>
      <rgbColor rgb="FF660066"/>
      <rgbColor rgb="FFFF8080"/>
      <rgbColor rgb="FF1F4FBF"/>
      <rgbColor rgb="FFC9D0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2F5"/>
      <rgbColor rgb="FFCCFFCC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556078"/>
      <rgbColor rgb="FF969696"/>
      <rgbColor rgb="FF003366"/>
      <rgbColor rgb="FF339966"/>
      <rgbColor rgb="FF0A1228"/>
      <rgbColor rgb="FF333300"/>
      <rgbColor rgb="FF9B1C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26"/>
    <col collapsed="false" customWidth="true" hidden="false" outlineLevel="0" max="3" min="3" style="0" width="72"/>
  </cols>
  <sheetData>
    <row r="1" customFormat="false" ht="24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4" hidden="false" customHeight="true" outlineLevel="0" collapsed="false">
      <c r="A4" s="3" t="s">
        <v>2</v>
      </c>
      <c r="B4" s="4" t="s">
        <v>3</v>
      </c>
      <c r="C4" s="4" t="s">
        <v>4</v>
      </c>
    </row>
    <row r="5" customFormat="false" ht="15" hidden="false" customHeight="false" outlineLevel="0" collapsed="false">
      <c r="A5" s="5" t="s">
        <v>5</v>
      </c>
      <c r="B5" s="6" t="s">
        <v>6</v>
      </c>
      <c r="C5" s="7" t="s">
        <v>7</v>
      </c>
    </row>
    <row r="6" customFormat="false" ht="15" hidden="false" customHeight="false" outlineLevel="0" collapsed="false">
      <c r="A6" s="5" t="s">
        <v>8</v>
      </c>
      <c r="B6" s="6" t="s">
        <v>7</v>
      </c>
      <c r="C6" s="7"/>
    </row>
    <row r="7" customFormat="false" ht="15" hidden="false" customHeight="false" outlineLevel="0" collapsed="false">
      <c r="A7" s="5" t="s">
        <v>9</v>
      </c>
      <c r="B7" s="8" t="n">
        <v>46295</v>
      </c>
      <c r="C7" s="7" t="s">
        <v>10</v>
      </c>
    </row>
    <row r="8" customFormat="false" ht="15" hidden="false" customHeight="false" outlineLevel="0" collapsed="false">
      <c r="A8" s="5" t="s">
        <v>11</v>
      </c>
      <c r="B8" s="9" t="n">
        <v>0.05</v>
      </c>
      <c r="C8" s="7" t="s">
        <v>12</v>
      </c>
    </row>
    <row r="9" customFormat="false" ht="15" hidden="false" customHeight="false" outlineLevel="0" collapsed="false">
      <c r="A9" s="5" t="s">
        <v>13</v>
      </c>
      <c r="B9" s="10" t="str">
        <f aca="false">IF(B8&gt;0.05,"Au-dessus du plafond légal de 5 %","Conforme")</f>
        <v>Conforme</v>
      </c>
      <c r="C9" s="7" t="s">
        <v>14</v>
      </c>
    </row>
    <row r="10" customFormat="false" ht="15" hidden="false" customHeight="false" outlineLevel="0" collapsed="false">
      <c r="A10" s="5" t="s">
        <v>15</v>
      </c>
      <c r="B10" s="11" t="n">
        <v>70000</v>
      </c>
      <c r="C10" s="7" t="s">
        <v>16</v>
      </c>
    </row>
    <row r="11" customFormat="false" ht="15" hidden="false" customHeight="false" outlineLevel="0" collapsed="false">
      <c r="A11" s="5" t="s">
        <v>17</v>
      </c>
      <c r="B11" s="11" t="n">
        <v>21000</v>
      </c>
      <c r="C11" s="7" t="s">
        <v>18</v>
      </c>
    </row>
    <row r="12" customFormat="false" ht="15" hidden="false" customHeight="false" outlineLevel="0" collapsed="false">
      <c r="A12" s="5" t="s">
        <v>19</v>
      </c>
      <c r="B12" s="9" t="n">
        <v>0.01</v>
      </c>
      <c r="C12" s="7" t="s">
        <v>20</v>
      </c>
    </row>
    <row r="15" customFormat="false" ht="15" hidden="false" customHeight="false" outlineLevel="0" collapsed="false">
      <c r="A15" s="2" t="s">
        <v>21</v>
      </c>
    </row>
    <row r="16" customFormat="false" ht="15" hidden="false" customHeight="false" outlineLevel="0" collapsed="false">
      <c r="A16" s="2" t="s">
        <v>22</v>
      </c>
    </row>
    <row r="17" customFormat="false" ht="15" hidden="false" customHeight="false" outlineLevel="0" collapsed="false">
      <c r="A17" s="2" t="s">
        <v>23</v>
      </c>
    </row>
  </sheetData>
  <conditionalFormatting sqref="B9">
    <cfRule type="expression" priority="2" aboveAverage="0" equalAverage="0" bottom="0" percent="0" rank="0" text="" dxfId="0">
      <formula>B9&lt;&gt;"Conforme"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Y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20"/>
    <col collapsed="false" customWidth="true" hidden="false" outlineLevel="0" max="3" min="3" style="0" width="13"/>
    <col collapsed="false" customWidth="true" hidden="false" outlineLevel="0" max="4" min="4" style="0" width="14"/>
    <col collapsed="false" customWidth="true" hidden="false" outlineLevel="0" max="7" min="5" style="0" width="13"/>
    <col collapsed="false" customWidth="true" hidden="false" outlineLevel="0" max="8" min="8" style="0" width="14"/>
    <col collapsed="false" customWidth="true" hidden="false" outlineLevel="0" max="14" min="9" style="0" width="12"/>
    <col collapsed="false" customWidth="true" hidden="false" outlineLevel="0" max="15" min="15" style="0" width="13"/>
    <col collapsed="false" customWidth="true" hidden="false" outlineLevel="0" max="16" min="16" style="0" width="12"/>
    <col collapsed="false" customWidth="true" hidden="false" outlineLevel="0" max="17" min="17" style="0" width="14"/>
    <col collapsed="false" customWidth="true" hidden="false" outlineLevel="0" max="18" min="18" style="0" width="16"/>
    <col collapsed="false" customWidth="true" hidden="false" outlineLevel="0" max="20" min="19" style="0" width="13"/>
    <col collapsed="false" customWidth="true" hidden="false" outlineLevel="0" max="21" min="21" style="0" width="15"/>
    <col collapsed="false" customWidth="true" hidden="false" outlineLevel="0" max="22" min="22" style="0" width="13"/>
    <col collapsed="false" customWidth="true" hidden="false" outlineLevel="0" max="24" min="23" style="0" width="14"/>
    <col collapsed="false" customWidth="true" hidden="false" outlineLevel="0" max="25" min="25" style="0" width="26"/>
  </cols>
  <sheetData>
    <row r="1" customFormat="false" ht="24" hidden="false" customHeight="true" outlineLevel="0" collapsed="false">
      <c r="A1" s="1" t="s">
        <v>24</v>
      </c>
    </row>
    <row r="2" customFormat="false" ht="15" hidden="false" customHeight="false" outlineLevel="0" collapsed="false">
      <c r="A2" s="2" t="s">
        <v>25</v>
      </c>
    </row>
    <row r="4" customFormat="false" ht="15" hidden="false" customHeight="false" outlineLevel="0" collapsed="false">
      <c r="A4" s="12" t="s">
        <v>26</v>
      </c>
      <c r="B4" s="13"/>
      <c r="C4" s="13"/>
      <c r="D4" s="13"/>
      <c r="E4" s="13"/>
      <c r="F4" s="13"/>
      <c r="G4" s="13"/>
      <c r="H4" s="13"/>
      <c r="I4" s="12" t="s">
        <v>27</v>
      </c>
      <c r="J4" s="13"/>
      <c r="K4" s="13"/>
      <c r="L4" s="13"/>
      <c r="M4" s="13"/>
      <c r="N4" s="13"/>
      <c r="O4" s="12" t="s">
        <v>28</v>
      </c>
      <c r="P4" s="13"/>
      <c r="Q4" s="13"/>
      <c r="R4" s="13"/>
      <c r="S4" s="13"/>
      <c r="T4" s="13"/>
      <c r="U4" s="13"/>
      <c r="V4" s="13"/>
      <c r="W4" s="12" t="s">
        <v>29</v>
      </c>
      <c r="X4" s="13"/>
      <c r="Y4" s="13"/>
    </row>
    <row r="5" customFormat="false" ht="57.75" hidden="false" customHeight="true" outlineLevel="0" collapsed="false">
      <c r="A5" s="3" t="s">
        <v>30</v>
      </c>
      <c r="B5" s="4" t="s">
        <v>31</v>
      </c>
      <c r="C5" s="4" t="s">
        <v>32</v>
      </c>
      <c r="D5" s="4" t="s">
        <v>33</v>
      </c>
      <c r="E5" s="4" t="s">
        <v>34</v>
      </c>
      <c r="F5" s="4" t="s">
        <v>35</v>
      </c>
      <c r="G5" s="4" t="s">
        <v>36</v>
      </c>
      <c r="H5" s="4" t="s">
        <v>37</v>
      </c>
      <c r="I5" s="14" t="n">
        <v>46113</v>
      </c>
      <c r="J5" s="14" t="n">
        <v>46143</v>
      </c>
      <c r="K5" s="14" t="n">
        <v>46174</v>
      </c>
      <c r="L5" s="14" t="n">
        <v>46204</v>
      </c>
      <c r="M5" s="14" t="n">
        <v>46235</v>
      </c>
      <c r="N5" s="14" t="n">
        <v>46266</v>
      </c>
      <c r="O5" s="4" t="s">
        <v>38</v>
      </c>
      <c r="P5" s="4" t="s">
        <v>39</v>
      </c>
      <c r="Q5" s="4" t="s">
        <v>40</v>
      </c>
      <c r="R5" s="4" t="s">
        <v>41</v>
      </c>
      <c r="S5" s="4" t="s">
        <v>42</v>
      </c>
      <c r="T5" s="4" t="s">
        <v>43</v>
      </c>
      <c r="U5" s="4" t="s">
        <v>44</v>
      </c>
      <c r="V5" s="4" t="s">
        <v>45</v>
      </c>
      <c r="W5" s="4" t="s">
        <v>46</v>
      </c>
      <c r="X5" s="4" t="s">
        <v>47</v>
      </c>
      <c r="Y5" s="4" t="s">
        <v>48</v>
      </c>
    </row>
    <row r="6" customFormat="false" ht="15" hidden="false" customHeight="false" outlineLevel="0" collapsed="false">
      <c r="A6" s="15" t="s">
        <v>49</v>
      </c>
      <c r="B6" s="15" t="s">
        <v>50</v>
      </c>
      <c r="C6" s="11" t="n">
        <v>310000</v>
      </c>
      <c r="D6" s="11" t="n">
        <v>296000</v>
      </c>
      <c r="E6" s="16" t="n">
        <f aca="false">SUMIFS(Avenants!$E$6:$E$25,Avenants!$B$6:$B$25,A6,Avenants!$F$6:$F$25,"Signé")</f>
        <v>9000</v>
      </c>
      <c r="F6" s="16" t="n">
        <f aca="false">D6+E6</f>
        <v>305000</v>
      </c>
      <c r="G6" s="16" t="n">
        <f aca="false">IF(F6&gt;0,F6-C6,0)</f>
        <v>-5000</v>
      </c>
      <c r="H6" s="16" t="n">
        <f aca="false">SUMIFS(Avenants!$E$6:$E$25,Avenants!$B$6:$B$25,A6,Avenants!$F$6:$F$25,"En discussion")</f>
        <v>0</v>
      </c>
      <c r="I6" s="11" t="n">
        <v>180000</v>
      </c>
      <c r="J6" s="11" t="n">
        <v>290000</v>
      </c>
      <c r="K6" s="11" t="n">
        <v>305000</v>
      </c>
      <c r="L6" s="11" t="n">
        <v>305000</v>
      </c>
      <c r="M6" s="11" t="n">
        <v>305000</v>
      </c>
      <c r="N6" s="11" t="n">
        <v>305000</v>
      </c>
      <c r="O6" s="16" t="n">
        <f aca="false">IF(COUNT(I6:N6)=0,0,MAX(I6:N6))</f>
        <v>305000</v>
      </c>
      <c r="P6" s="17" t="n">
        <f aca="false">IF(F6&gt;0,O6/F6,0)</f>
        <v>1</v>
      </c>
      <c r="Q6" s="11" t="n">
        <v>0</v>
      </c>
      <c r="R6" s="6" t="s">
        <v>51</v>
      </c>
      <c r="S6" s="16" t="n">
        <f aca="false">IF(R6="Oui",0,ROUND((O6-Q6)*TAUX_RETENUE,2))</f>
        <v>15250</v>
      </c>
      <c r="T6" s="16" t="n">
        <f aca="false">O6-Q6-S6</f>
        <v>289750</v>
      </c>
      <c r="U6" s="16" t="n">
        <f aca="false">O6-T6</f>
        <v>15250</v>
      </c>
      <c r="V6" s="16" t="n">
        <f aca="false">MAX(F6-O6,0)</f>
        <v>0</v>
      </c>
      <c r="W6" s="16" t="n">
        <f aca="false">IF(F6=0,C6,F6+H6)</f>
        <v>305000</v>
      </c>
      <c r="X6" s="16" t="n">
        <f aca="false">W6-C6</f>
        <v>-5000</v>
      </c>
      <c r="Y6" s="5" t="str">
        <f aca="false">IF(SUMPRODUCT((J6:N6&lt;I6:M6)*(J6:N6&lt;&gt;""))&gt;0,"Cumul décroissant",IF(Q6&gt;O6,"Attente &gt; facturé",IF(O6&gt;F6,"Facturé au-delà de l'engagé",IF(F6=0,"À attribuer",IF(F6&gt;C6*(1+TOLERANCE),"Dépassement du budget",IF(W6&gt;C6*(1+TOLERANCE),"Dépassement probable","Dans le budget"))))))</f>
        <v>Dans le budget</v>
      </c>
    </row>
    <row r="7" customFormat="false" ht="15" hidden="false" customHeight="false" outlineLevel="0" collapsed="false">
      <c r="A7" s="15" t="s">
        <v>52</v>
      </c>
      <c r="B7" s="15" t="s">
        <v>53</v>
      </c>
      <c r="C7" s="11" t="n">
        <v>920000</v>
      </c>
      <c r="D7" s="11" t="n">
        <v>905000</v>
      </c>
      <c r="E7" s="16" t="n">
        <f aca="false">SUMIFS(Avenants!$E$6:$E$25,Avenants!$B$6:$B$25,A7,Avenants!$F$6:$F$25,"Signé")</f>
        <v>34000</v>
      </c>
      <c r="F7" s="16" t="n">
        <f aca="false">D7+E7</f>
        <v>939000</v>
      </c>
      <c r="G7" s="16" t="n">
        <f aca="false">IF(F7&gt;0,F7-C7,0)</f>
        <v>19000</v>
      </c>
      <c r="H7" s="16" t="n">
        <f aca="false">SUMIFS(Avenants!$E$6:$E$25,Avenants!$B$6:$B$25,A7,Avenants!$F$6:$F$25,"En discussion")</f>
        <v>12000</v>
      </c>
      <c r="I7" s="11"/>
      <c r="J7" s="11" t="n">
        <v>120000</v>
      </c>
      <c r="K7" s="11" t="n">
        <v>310000</v>
      </c>
      <c r="L7" s="11" t="n">
        <v>480000</v>
      </c>
      <c r="M7" s="11" t="n">
        <v>640000</v>
      </c>
      <c r="N7" s="11" t="n">
        <v>800000</v>
      </c>
      <c r="O7" s="16" t="n">
        <f aca="false">IF(COUNT(I7:N7)=0,0,MAX(I7:N7))</f>
        <v>800000</v>
      </c>
      <c r="P7" s="17" t="n">
        <f aca="false">IF(F7&gt;0,O7/F7,0)</f>
        <v>0.851970181043664</v>
      </c>
      <c r="Q7" s="11" t="n">
        <v>105000</v>
      </c>
      <c r="R7" s="6" t="s">
        <v>51</v>
      </c>
      <c r="S7" s="16" t="n">
        <f aca="false">IF(R7="Oui",0,ROUND((O7-Q7)*TAUX_RETENUE,2))</f>
        <v>34750</v>
      </c>
      <c r="T7" s="16" t="n">
        <f aca="false">O7-Q7-S7</f>
        <v>660250</v>
      </c>
      <c r="U7" s="16" t="n">
        <f aca="false">O7-T7</f>
        <v>139750</v>
      </c>
      <c r="V7" s="16" t="n">
        <f aca="false">MAX(F7-O7,0)</f>
        <v>139000</v>
      </c>
      <c r="W7" s="16" t="n">
        <f aca="false">IF(F7=0,C7,F7+H7)</f>
        <v>951000</v>
      </c>
      <c r="X7" s="16" t="n">
        <f aca="false">W7-C7</f>
        <v>31000</v>
      </c>
      <c r="Y7" s="5" t="str">
        <f aca="false">IF(SUMPRODUCT((J7:N7&lt;I7:M7)*(J7:N7&lt;&gt;""))&gt;0,"Cumul décroissant",IF(Q7&gt;O7,"Attente &gt; facturé",IF(O7&gt;F7,"Facturé au-delà de l'engagé",IF(F7=0,"À attribuer",IF(F7&gt;C7*(1+TOLERANCE),"Dépassement du budget",IF(W7&gt;C7*(1+TOLERANCE),"Dépassement probable","Dans le budget"))))))</f>
        <v>Dépassement du budget</v>
      </c>
    </row>
    <row r="8" customFormat="false" ht="15" hidden="false" customHeight="false" outlineLevel="0" collapsed="false">
      <c r="A8" s="15" t="s">
        <v>54</v>
      </c>
      <c r="B8" s="15" t="s">
        <v>55</v>
      </c>
      <c r="C8" s="11" t="n">
        <v>175000</v>
      </c>
      <c r="D8" s="11" t="n">
        <v>168500</v>
      </c>
      <c r="E8" s="16" t="n">
        <f aca="false">SUMIFS(Avenants!$E$6:$E$25,Avenants!$B$6:$B$25,A8,Avenants!$F$6:$F$25,"Signé")</f>
        <v>0</v>
      </c>
      <c r="F8" s="16" t="n">
        <f aca="false">D8+E8</f>
        <v>168500</v>
      </c>
      <c r="G8" s="16" t="n">
        <f aca="false">IF(F8&gt;0,F8-C8,0)</f>
        <v>-6500</v>
      </c>
      <c r="H8" s="16" t="n">
        <f aca="false">SUMIFS(Avenants!$E$6:$E$25,Avenants!$B$6:$B$25,A8,Avenants!$F$6:$F$25,"En discussion")</f>
        <v>0</v>
      </c>
      <c r="I8" s="11"/>
      <c r="J8" s="11" t="n">
        <v>70000</v>
      </c>
      <c r="K8" s="11" t="n">
        <v>130000</v>
      </c>
      <c r="L8" s="11" t="n">
        <v>168500</v>
      </c>
      <c r="M8" s="11" t="n">
        <v>168500</v>
      </c>
      <c r="N8" s="11" t="n">
        <v>168500</v>
      </c>
      <c r="O8" s="16" t="n">
        <f aca="false">IF(COUNT(I8:N8)=0,0,MAX(I8:N8))</f>
        <v>168500</v>
      </c>
      <c r="P8" s="17" t="n">
        <f aca="false">IF(F8&gt;0,O8/F8,0)</f>
        <v>1</v>
      </c>
      <c r="Q8" s="11" t="n">
        <v>0</v>
      </c>
      <c r="R8" s="6" t="s">
        <v>56</v>
      </c>
      <c r="S8" s="16" t="n">
        <f aca="false">IF(R8="Oui",0,ROUND((O8-Q8)*TAUX_RETENUE,2))</f>
        <v>0</v>
      </c>
      <c r="T8" s="16" t="n">
        <f aca="false">O8-Q8-S8</f>
        <v>168500</v>
      </c>
      <c r="U8" s="16" t="n">
        <f aca="false">O8-T8</f>
        <v>0</v>
      </c>
      <c r="V8" s="16" t="n">
        <f aca="false">MAX(F8-O8,0)</f>
        <v>0</v>
      </c>
      <c r="W8" s="16" t="n">
        <f aca="false">IF(F8=0,C8,F8+H8)</f>
        <v>168500</v>
      </c>
      <c r="X8" s="16" t="n">
        <f aca="false">W8-C8</f>
        <v>-6500</v>
      </c>
      <c r="Y8" s="5" t="str">
        <f aca="false">IF(SUMPRODUCT((J8:N8&lt;I8:M8)*(J8:N8&lt;&gt;""))&gt;0,"Cumul décroissant",IF(Q8&gt;O8,"Attente &gt; facturé",IF(O8&gt;F8,"Facturé au-delà de l'engagé",IF(F8=0,"À attribuer",IF(F8&gt;C8*(1+TOLERANCE),"Dépassement du budget",IF(W8&gt;C8*(1+TOLERANCE),"Dépassement probable","Dans le budget"))))))</f>
        <v>Dans le budget</v>
      </c>
    </row>
    <row r="9" customFormat="false" ht="15" hidden="false" customHeight="false" outlineLevel="0" collapsed="false">
      <c r="A9" s="15" t="s">
        <v>57</v>
      </c>
      <c r="B9" s="15" t="s">
        <v>58</v>
      </c>
      <c r="C9" s="11" t="n">
        <v>205000</v>
      </c>
      <c r="D9" s="11" t="n">
        <v>222000</v>
      </c>
      <c r="E9" s="16" t="n">
        <f aca="false">SUMIFS(Avenants!$E$6:$E$25,Avenants!$B$6:$B$25,A9,Avenants!$F$6:$F$25,"Signé")</f>
        <v>6000</v>
      </c>
      <c r="F9" s="16" t="n">
        <f aca="false">D9+E9</f>
        <v>228000</v>
      </c>
      <c r="G9" s="16" t="n">
        <f aca="false">IF(F9&gt;0,F9-C9,0)</f>
        <v>23000</v>
      </c>
      <c r="H9" s="16" t="n">
        <f aca="false">SUMIFS(Avenants!$E$6:$E$25,Avenants!$B$6:$B$25,A9,Avenants!$F$6:$F$25,"En discussion")</f>
        <v>0</v>
      </c>
      <c r="I9" s="11"/>
      <c r="J9" s="11"/>
      <c r="K9" s="11"/>
      <c r="L9" s="11" t="n">
        <v>60000</v>
      </c>
      <c r="M9" s="11" t="n">
        <v>150000</v>
      </c>
      <c r="N9" s="11" t="n">
        <v>236000</v>
      </c>
      <c r="O9" s="16" t="n">
        <f aca="false">IF(COUNT(I9:N9)=0,0,MAX(I9:N9))</f>
        <v>236000</v>
      </c>
      <c r="P9" s="17" t="n">
        <f aca="false">IF(F9&gt;0,O9/F9,0)</f>
        <v>1.03508771929825</v>
      </c>
      <c r="Q9" s="11" t="n">
        <v>86000</v>
      </c>
      <c r="R9" s="6" t="s">
        <v>51</v>
      </c>
      <c r="S9" s="16" t="n">
        <f aca="false">IF(R9="Oui",0,ROUND((O9-Q9)*TAUX_RETENUE,2))</f>
        <v>7500</v>
      </c>
      <c r="T9" s="16" t="n">
        <f aca="false">O9-Q9-S9</f>
        <v>142500</v>
      </c>
      <c r="U9" s="16" t="n">
        <f aca="false">O9-T9</f>
        <v>93500</v>
      </c>
      <c r="V9" s="16" t="n">
        <f aca="false">MAX(F9-O9,0)</f>
        <v>0</v>
      </c>
      <c r="W9" s="16" t="n">
        <f aca="false">IF(F9=0,C9,F9+H9)</f>
        <v>228000</v>
      </c>
      <c r="X9" s="16" t="n">
        <f aca="false">W9-C9</f>
        <v>23000</v>
      </c>
      <c r="Y9" s="5" t="str">
        <f aca="false">IF(SUMPRODUCT((J9:N9&lt;I9:M9)*(J9:N9&lt;&gt;""))&gt;0,"Cumul décroissant",IF(Q9&gt;O9,"Attente &gt; facturé",IF(O9&gt;F9,"Facturé au-delà de l'engagé",IF(F9=0,"À attribuer",IF(F9&gt;C9*(1+TOLERANCE),"Dépassement du budget",IF(W9&gt;C9*(1+TOLERANCE),"Dépassement probable","Dans le budget"))))))</f>
        <v>Facturé au-delà de l'engagé</v>
      </c>
    </row>
    <row r="10" customFormat="false" ht="15" hidden="false" customHeight="false" outlineLevel="0" collapsed="false">
      <c r="A10" s="15" t="s">
        <v>59</v>
      </c>
      <c r="B10" s="15" t="s">
        <v>60</v>
      </c>
      <c r="C10" s="11" t="n">
        <v>310000</v>
      </c>
      <c r="D10" s="11" t="n">
        <v>301000</v>
      </c>
      <c r="E10" s="16" t="n">
        <f aca="false">SUMIFS(Avenants!$E$6:$E$25,Avenants!$B$6:$B$25,A10,Avenants!$F$6:$F$25,"Signé")</f>
        <v>0</v>
      </c>
      <c r="F10" s="16" t="n">
        <f aca="false">D10+E10</f>
        <v>301000</v>
      </c>
      <c r="G10" s="16" t="n">
        <f aca="false">IF(F10&gt;0,F10-C10,0)</f>
        <v>-9000</v>
      </c>
      <c r="H10" s="16" t="n">
        <f aca="false">SUMIFS(Avenants!$E$6:$E$25,Avenants!$B$6:$B$25,A10,Avenants!$F$6:$F$25,"En discussion")</f>
        <v>0</v>
      </c>
      <c r="I10" s="11"/>
      <c r="J10" s="11"/>
      <c r="K10" s="11"/>
      <c r="L10" s="11" t="n">
        <v>40000</v>
      </c>
      <c r="M10" s="11" t="n">
        <v>95000</v>
      </c>
      <c r="N10" s="11" t="n">
        <v>150000</v>
      </c>
      <c r="O10" s="16" t="n">
        <f aca="false">IF(COUNT(I10:N10)=0,0,MAX(I10:N10))</f>
        <v>150000</v>
      </c>
      <c r="P10" s="17" t="n">
        <f aca="false">IF(F10&gt;0,O10/F10,0)</f>
        <v>0.498338870431894</v>
      </c>
      <c r="Q10" s="11" t="n">
        <v>55000</v>
      </c>
      <c r="R10" s="6" t="s">
        <v>51</v>
      </c>
      <c r="S10" s="16" t="n">
        <f aca="false">IF(R10="Oui",0,ROUND((O10-Q10)*TAUX_RETENUE,2))</f>
        <v>4750</v>
      </c>
      <c r="T10" s="16" t="n">
        <f aca="false">O10-Q10-S10</f>
        <v>90250</v>
      </c>
      <c r="U10" s="16" t="n">
        <f aca="false">O10-T10</f>
        <v>59750</v>
      </c>
      <c r="V10" s="16" t="n">
        <f aca="false">MAX(F10-O10,0)</f>
        <v>151000</v>
      </c>
      <c r="W10" s="16" t="n">
        <f aca="false">IF(F10=0,C10,F10+H10)</f>
        <v>301000</v>
      </c>
      <c r="X10" s="16" t="n">
        <f aca="false">W10-C10</f>
        <v>-9000</v>
      </c>
      <c r="Y10" s="5" t="str">
        <f aca="false">IF(SUMPRODUCT((J10:N10&lt;I10:M10)*(J10:N10&lt;&gt;""))&gt;0,"Cumul décroissant",IF(Q10&gt;O10,"Attente &gt; facturé",IF(O10&gt;F10,"Facturé au-delà de l'engagé",IF(F10=0,"À attribuer",IF(F10&gt;C10*(1+TOLERANCE),"Dépassement du budget",IF(W10&gt;C10*(1+TOLERANCE),"Dépassement probable","Dans le budget"))))))</f>
        <v>Dans le budget</v>
      </c>
    </row>
    <row r="11" customFormat="false" ht="15" hidden="false" customHeight="false" outlineLevel="0" collapsed="false">
      <c r="A11" s="15" t="s">
        <v>61</v>
      </c>
      <c r="B11" s="15" t="s">
        <v>62</v>
      </c>
      <c r="C11" s="11" t="n">
        <v>165000</v>
      </c>
      <c r="D11" s="11" t="n">
        <v>158000</v>
      </c>
      <c r="E11" s="16" t="n">
        <f aca="false">SUMIFS(Avenants!$E$6:$E$25,Avenants!$B$6:$B$25,A11,Avenants!$F$6:$F$25,"Signé")</f>
        <v>0</v>
      </c>
      <c r="F11" s="16" t="n">
        <f aca="false">D11+E11</f>
        <v>158000</v>
      </c>
      <c r="G11" s="16" t="n">
        <f aca="false">IF(F11&gt;0,F11-C11,0)</f>
        <v>-7000</v>
      </c>
      <c r="H11" s="16" t="n">
        <f aca="false">SUMIFS(Avenants!$E$6:$E$25,Avenants!$B$6:$B$25,A11,Avenants!$F$6:$F$25,"En discussion")</f>
        <v>4800</v>
      </c>
      <c r="I11" s="11"/>
      <c r="J11" s="11"/>
      <c r="K11" s="11"/>
      <c r="L11" s="11"/>
      <c r="M11" s="11" t="n">
        <v>30000</v>
      </c>
      <c r="N11" s="11" t="n">
        <v>62000</v>
      </c>
      <c r="O11" s="16" t="n">
        <f aca="false">IF(COUNT(I11:N11)=0,0,MAX(I11:N11))</f>
        <v>62000</v>
      </c>
      <c r="P11" s="17" t="n">
        <f aca="false">IF(F11&gt;0,O11/F11,0)</f>
        <v>0.392405063291139</v>
      </c>
      <c r="Q11" s="11" t="n">
        <v>32000</v>
      </c>
      <c r="R11" s="6" t="s">
        <v>51</v>
      </c>
      <c r="S11" s="16" t="n">
        <f aca="false">IF(R11="Oui",0,ROUND((O11-Q11)*TAUX_RETENUE,2))</f>
        <v>1500</v>
      </c>
      <c r="T11" s="16" t="n">
        <f aca="false">O11-Q11-S11</f>
        <v>28500</v>
      </c>
      <c r="U11" s="16" t="n">
        <f aca="false">O11-T11</f>
        <v>33500</v>
      </c>
      <c r="V11" s="16" t="n">
        <f aca="false">MAX(F11-O11,0)</f>
        <v>96000</v>
      </c>
      <c r="W11" s="16" t="n">
        <f aca="false">IF(F11=0,C11,F11+H11)</f>
        <v>162800</v>
      </c>
      <c r="X11" s="16" t="n">
        <f aca="false">W11-C11</f>
        <v>-2200</v>
      </c>
      <c r="Y11" s="5" t="str">
        <f aca="false">IF(SUMPRODUCT((J11:N11&lt;I11:M11)*(J11:N11&lt;&gt;""))&gt;0,"Cumul décroissant",IF(Q11&gt;O11,"Attente &gt; facturé",IF(O11&gt;F11,"Facturé au-delà de l'engagé",IF(F11=0,"À attribuer",IF(F11&gt;C11*(1+TOLERANCE),"Dépassement du budget",IF(W11&gt;C11*(1+TOLERANCE),"Dépassement probable","Dans le budget"))))))</f>
        <v>Dans le budget</v>
      </c>
    </row>
    <row r="12" customFormat="false" ht="15" hidden="false" customHeight="false" outlineLevel="0" collapsed="false">
      <c r="A12" s="15" t="s">
        <v>63</v>
      </c>
      <c r="B12" s="15"/>
      <c r="C12" s="11" t="n">
        <v>270000</v>
      </c>
      <c r="D12" s="11" t="n">
        <v>0</v>
      </c>
      <c r="E12" s="16" t="n">
        <f aca="false">SUMIFS(Avenants!$E$6:$E$25,Avenants!$B$6:$B$25,A12,Avenants!$F$6:$F$25,"Signé")</f>
        <v>0</v>
      </c>
      <c r="F12" s="16" t="n">
        <f aca="false">D12+E12</f>
        <v>0</v>
      </c>
      <c r="G12" s="16" t="n">
        <f aca="false">IF(F12&gt;0,F12-C12,0)</f>
        <v>0</v>
      </c>
      <c r="H12" s="16" t="n">
        <f aca="false">SUMIFS(Avenants!$E$6:$E$25,Avenants!$B$6:$B$25,A12,Avenants!$F$6:$F$25,"En discussion")</f>
        <v>0</v>
      </c>
      <c r="I12" s="11"/>
      <c r="J12" s="11"/>
      <c r="K12" s="11"/>
      <c r="L12" s="11"/>
      <c r="M12" s="11"/>
      <c r="N12" s="11"/>
      <c r="O12" s="16" t="n">
        <f aca="false">IF(COUNT(I12:N12)=0,0,MAX(I12:N12))</f>
        <v>0</v>
      </c>
      <c r="P12" s="17" t="n">
        <f aca="false">IF(F12&gt;0,O12/F12,0)</f>
        <v>0</v>
      </c>
      <c r="Q12" s="11" t="n">
        <v>0</v>
      </c>
      <c r="R12" s="6" t="s">
        <v>51</v>
      </c>
      <c r="S12" s="16" t="n">
        <f aca="false">IF(R12="Oui",0,ROUND((O12-Q12)*TAUX_RETENUE,2))</f>
        <v>0</v>
      </c>
      <c r="T12" s="16" t="n">
        <f aca="false">O12-Q12-S12</f>
        <v>0</v>
      </c>
      <c r="U12" s="16" t="n">
        <f aca="false">O12-T12</f>
        <v>0</v>
      </c>
      <c r="V12" s="16" t="n">
        <f aca="false">MAX(F12-O12,0)</f>
        <v>0</v>
      </c>
      <c r="W12" s="16" t="n">
        <f aca="false">IF(F12=0,C12,F12+H12)</f>
        <v>270000</v>
      </c>
      <c r="X12" s="16" t="n">
        <f aca="false">W12-C12</f>
        <v>0</v>
      </c>
      <c r="Y12" s="5" t="str">
        <f aca="false">IF(SUMPRODUCT((J12:N12&lt;I12:M12)*(J12:N12&lt;&gt;""))&gt;0,"Cumul décroissant",IF(Q12&gt;O12,"Attente &gt; facturé",IF(O12&gt;F12,"Facturé au-delà de l'engagé",IF(F12=0,"À attribuer",IF(F12&gt;C12*(1+TOLERANCE),"Dépassement du budget",IF(W12&gt;C12*(1+TOLERANCE),"Dépassement probable","Dans le budget"))))))</f>
        <v>À attribuer</v>
      </c>
    </row>
    <row r="13" customFormat="false" ht="15" hidden="false" customHeight="false" outlineLevel="0" collapsed="false">
      <c r="A13" s="15" t="s">
        <v>64</v>
      </c>
      <c r="B13" s="15"/>
      <c r="C13" s="11" t="n">
        <v>120000</v>
      </c>
      <c r="D13" s="11" t="n">
        <v>0</v>
      </c>
      <c r="E13" s="16" t="n">
        <f aca="false">SUMIFS(Avenants!$E$6:$E$25,Avenants!$B$6:$B$25,A13,Avenants!$F$6:$F$25,"Signé")</f>
        <v>0</v>
      </c>
      <c r="F13" s="16" t="n">
        <f aca="false">D13+E13</f>
        <v>0</v>
      </c>
      <c r="G13" s="16" t="n">
        <f aca="false">IF(F13&gt;0,F13-C13,0)</f>
        <v>0</v>
      </c>
      <c r="H13" s="16" t="n">
        <f aca="false">SUMIFS(Avenants!$E$6:$E$25,Avenants!$B$6:$B$25,A13,Avenants!$F$6:$F$25,"En discussion")</f>
        <v>0</v>
      </c>
      <c r="I13" s="11"/>
      <c r="J13" s="11"/>
      <c r="K13" s="11"/>
      <c r="L13" s="11"/>
      <c r="M13" s="11"/>
      <c r="N13" s="11"/>
      <c r="O13" s="16" t="n">
        <f aca="false">IF(COUNT(I13:N13)=0,0,MAX(I13:N13))</f>
        <v>0</v>
      </c>
      <c r="P13" s="17" t="n">
        <f aca="false">IF(F13&gt;0,O13/F13,0)</f>
        <v>0</v>
      </c>
      <c r="Q13" s="11" t="n">
        <v>0</v>
      </c>
      <c r="R13" s="6" t="s">
        <v>51</v>
      </c>
      <c r="S13" s="16" t="n">
        <f aca="false">IF(R13="Oui",0,ROUND((O13-Q13)*TAUX_RETENUE,2))</f>
        <v>0</v>
      </c>
      <c r="T13" s="16" t="n">
        <f aca="false">O13-Q13-S13</f>
        <v>0</v>
      </c>
      <c r="U13" s="16" t="n">
        <f aca="false">O13-T13</f>
        <v>0</v>
      </c>
      <c r="V13" s="16" t="n">
        <f aca="false">MAX(F13-O13,0)</f>
        <v>0</v>
      </c>
      <c r="W13" s="16" t="n">
        <f aca="false">IF(F13=0,C13,F13+H13)</f>
        <v>120000</v>
      </c>
      <c r="X13" s="16" t="n">
        <f aca="false">W13-C13</f>
        <v>0</v>
      </c>
      <c r="Y13" s="5" t="str">
        <f aca="false">IF(SUMPRODUCT((J13:N13&lt;I13:M13)*(J13:N13&lt;&gt;""))&gt;0,"Cumul décroissant",IF(Q13&gt;O13,"Attente &gt; facturé",IF(O13&gt;F13,"Facturé au-delà de l'engagé",IF(F13=0,"À attribuer",IF(F13&gt;C13*(1+TOLERANCE),"Dépassement du budget",IF(W13&gt;C13*(1+TOLERANCE),"Dépassement probable","Dans le budget"))))))</f>
        <v>À attribuer</v>
      </c>
    </row>
    <row r="14" customFormat="false" ht="15" hidden="false" customHeight="false" outlineLevel="0" collapsed="false">
      <c r="A14" s="15" t="s">
        <v>65</v>
      </c>
      <c r="B14" s="15" t="s">
        <v>66</v>
      </c>
      <c r="C14" s="11" t="n">
        <v>118000</v>
      </c>
      <c r="D14" s="11" t="n">
        <v>119000</v>
      </c>
      <c r="E14" s="16" t="n">
        <f aca="false">SUMIFS(Avenants!$E$6:$E$25,Avenants!$B$6:$B$25,A14,Avenants!$F$6:$F$25,"Signé")</f>
        <v>-7000</v>
      </c>
      <c r="F14" s="16" t="n">
        <f aca="false">D14+E14</f>
        <v>112000</v>
      </c>
      <c r="G14" s="16" t="n">
        <f aca="false">IF(F14&gt;0,F14-C14,0)</f>
        <v>-6000</v>
      </c>
      <c r="H14" s="16" t="n">
        <f aca="false">SUMIFS(Avenants!$E$6:$E$25,Avenants!$B$6:$B$25,A14,Avenants!$F$6:$F$25,"En discussion")</f>
        <v>0</v>
      </c>
      <c r="I14" s="11"/>
      <c r="J14" s="11"/>
      <c r="K14" s="11"/>
      <c r="L14" s="11"/>
      <c r="M14" s="11"/>
      <c r="N14" s="11"/>
      <c r="O14" s="16" t="n">
        <f aca="false">IF(COUNT(I14:N14)=0,0,MAX(I14:N14))</f>
        <v>0</v>
      </c>
      <c r="P14" s="17" t="n">
        <f aca="false">IF(F14&gt;0,O14/F14,0)</f>
        <v>0</v>
      </c>
      <c r="Q14" s="11" t="n">
        <v>0</v>
      </c>
      <c r="R14" s="6" t="s">
        <v>51</v>
      </c>
      <c r="S14" s="16" t="n">
        <f aca="false">IF(R14="Oui",0,ROUND((O14-Q14)*TAUX_RETENUE,2))</f>
        <v>0</v>
      </c>
      <c r="T14" s="16" t="n">
        <f aca="false">O14-Q14-S14</f>
        <v>0</v>
      </c>
      <c r="U14" s="16" t="n">
        <f aca="false">O14-T14</f>
        <v>0</v>
      </c>
      <c r="V14" s="16" t="n">
        <f aca="false">MAX(F14-O14,0)</f>
        <v>112000</v>
      </c>
      <c r="W14" s="16" t="n">
        <f aca="false">IF(F14=0,C14,F14+H14)</f>
        <v>112000</v>
      </c>
      <c r="X14" s="16" t="n">
        <f aca="false">W14-C14</f>
        <v>-6000</v>
      </c>
      <c r="Y14" s="5" t="str">
        <f aca="false">IF(SUMPRODUCT((J14:N14&lt;I14:M14)*(J14:N14&lt;&gt;""))&gt;0,"Cumul décroissant",IF(Q14&gt;O14,"Attente &gt; facturé",IF(O14&gt;F14,"Facturé au-delà de l'engagé",IF(F14=0,"À attribuer",IF(F14&gt;C14*(1+TOLERANCE),"Dépassement du budget",IF(W14&gt;C14*(1+TOLERANCE),"Dépassement probable","Dans le budget"))))))</f>
        <v>Dans le budget</v>
      </c>
    </row>
    <row r="15" customFormat="false" ht="15" hidden="false" customHeight="false" outlineLevel="0" collapsed="false">
      <c r="A15" s="15" t="s">
        <v>67</v>
      </c>
      <c r="B15" s="15" t="s">
        <v>68</v>
      </c>
      <c r="C15" s="11" t="n">
        <v>52000</v>
      </c>
      <c r="D15" s="11" t="n">
        <v>49800</v>
      </c>
      <c r="E15" s="16" t="n">
        <f aca="false">SUMIFS(Avenants!$E$6:$E$25,Avenants!$B$6:$B$25,A15,Avenants!$F$6:$F$25,"Signé")</f>
        <v>0</v>
      </c>
      <c r="F15" s="16" t="n">
        <f aca="false">D15+E15</f>
        <v>49800</v>
      </c>
      <c r="G15" s="16" t="n">
        <f aca="false">IF(F15&gt;0,F15-C15,0)</f>
        <v>-2200</v>
      </c>
      <c r="H15" s="16" t="n">
        <f aca="false">SUMIFS(Avenants!$E$6:$E$25,Avenants!$B$6:$B$25,A15,Avenants!$F$6:$F$25,"En discussion")</f>
        <v>0</v>
      </c>
      <c r="I15" s="11"/>
      <c r="J15" s="11"/>
      <c r="K15" s="11"/>
      <c r="L15" s="11"/>
      <c r="M15" s="11"/>
      <c r="N15" s="11" t="n">
        <v>15000</v>
      </c>
      <c r="O15" s="16" t="n">
        <f aca="false">IF(COUNT(I15:N15)=0,0,MAX(I15:N15))</f>
        <v>15000</v>
      </c>
      <c r="P15" s="17" t="n">
        <f aca="false">IF(F15&gt;0,O15/F15,0)</f>
        <v>0.301204819277108</v>
      </c>
      <c r="Q15" s="11" t="n">
        <v>15000</v>
      </c>
      <c r="R15" s="6" t="s">
        <v>51</v>
      </c>
      <c r="S15" s="16" t="n">
        <f aca="false">IF(R15="Oui",0,ROUND((O15-Q15)*TAUX_RETENUE,2))</f>
        <v>0</v>
      </c>
      <c r="T15" s="16" t="n">
        <f aca="false">O15-Q15-S15</f>
        <v>0</v>
      </c>
      <c r="U15" s="16" t="n">
        <f aca="false">O15-T15</f>
        <v>15000</v>
      </c>
      <c r="V15" s="16" t="n">
        <f aca="false">MAX(F15-O15,0)</f>
        <v>34800</v>
      </c>
      <c r="W15" s="16" t="n">
        <f aca="false">IF(F15=0,C15,F15+H15)</f>
        <v>49800</v>
      </c>
      <c r="X15" s="16" t="n">
        <f aca="false">W15-C15</f>
        <v>-2200</v>
      </c>
      <c r="Y15" s="5" t="str">
        <f aca="false">IF(SUMPRODUCT((J15:N15&lt;I15:M15)*(J15:N15&lt;&gt;""))&gt;0,"Cumul décroissant",IF(Q15&gt;O15,"Attente &gt; facturé",IF(O15&gt;F15,"Facturé au-delà de l'engagé",IF(F15=0,"À attribuer",IF(F15&gt;C15*(1+TOLERANCE),"Dépassement du budget",IF(W15&gt;C15*(1+TOLERANCE),"Dépassement probable","Dans le budget"))))))</f>
        <v>Dans le budget</v>
      </c>
    </row>
    <row r="16" customFormat="false" ht="15" hidden="false" customHeight="false" outlineLevel="0" collapsed="false">
      <c r="A16" s="18" t="s">
        <v>69</v>
      </c>
      <c r="B16" s="18"/>
      <c r="C16" s="19" t="n">
        <f aca="false">SUM(C6:C15)</f>
        <v>2645000</v>
      </c>
      <c r="D16" s="19" t="n">
        <f aca="false">SUM(D6:D15)</f>
        <v>2219300</v>
      </c>
      <c r="E16" s="19" t="n">
        <f aca="false">SUM(E6:E15)</f>
        <v>42000</v>
      </c>
      <c r="F16" s="19" t="n">
        <f aca="false">SUM(F6:F15)</f>
        <v>2261300</v>
      </c>
      <c r="G16" s="19" t="n">
        <f aca="false">SUM(G6:G15)</f>
        <v>6300</v>
      </c>
      <c r="H16" s="19" t="n">
        <f aca="false">SUM(H6:H15)</f>
        <v>16800</v>
      </c>
      <c r="I16" s="19" t="n">
        <f aca="false">SUM(I6:I15)</f>
        <v>180000</v>
      </c>
      <c r="J16" s="19" t="n">
        <f aca="false">SUM(J6:J15)</f>
        <v>480000</v>
      </c>
      <c r="K16" s="19" t="n">
        <f aca="false">SUM(K6:K15)</f>
        <v>745000</v>
      </c>
      <c r="L16" s="19" t="n">
        <f aca="false">SUM(L6:L15)</f>
        <v>1053500</v>
      </c>
      <c r="M16" s="19" t="n">
        <f aca="false">SUM(M6:M15)</f>
        <v>1388500</v>
      </c>
      <c r="N16" s="19" t="n">
        <f aca="false">SUM(N6:N15)</f>
        <v>1736500</v>
      </c>
      <c r="O16" s="19" t="n">
        <f aca="false">SUM(O6:O15)</f>
        <v>1736500</v>
      </c>
      <c r="P16" s="20" t="n">
        <f aca="false">IF(F16&gt;0,O16/F16,0)</f>
        <v>0.767921107327643</v>
      </c>
      <c r="Q16" s="19" t="n">
        <f aca="false">SUM(Q6:Q15)</f>
        <v>293000</v>
      </c>
      <c r="R16" s="18"/>
      <c r="S16" s="19" t="n">
        <f aca="false">SUM(S6:S15)</f>
        <v>63750</v>
      </c>
      <c r="T16" s="19" t="n">
        <f aca="false">SUM(T6:T15)</f>
        <v>1379750</v>
      </c>
      <c r="U16" s="19" t="n">
        <f aca="false">SUM(U6:U15)</f>
        <v>356750</v>
      </c>
      <c r="V16" s="19" t="n">
        <f aca="false">SUM(V6:V15)</f>
        <v>532800</v>
      </c>
      <c r="W16" s="19" t="n">
        <f aca="false">SUM(W6:W15)</f>
        <v>2668100</v>
      </c>
      <c r="X16" s="19" t="n">
        <f aca="false">SUM(X6:X15)</f>
        <v>23100</v>
      </c>
      <c r="Y16" s="18" t="str">
        <f aca="false">SUMPRODUCT((Y6:Y15&lt;&gt;"Dans le budget")*(Y6:Y15&lt;&gt;"À attribuer")*(A6:A15&lt;&gt;""))&amp;" lot(s) à examiner"</f>
        <v>2 lot(s) à examiner</v>
      </c>
    </row>
  </sheetData>
  <conditionalFormatting sqref="Y6:Y15">
    <cfRule type="expression" priority="2" aboveAverage="0" equalAverage="0" bottom="0" percent="0" rank="0" text="" dxfId="0">
      <formula>AND(Y6&lt;&gt;"Dans le budget",Y6&lt;&gt;"À attribuer")</formula>
    </cfRule>
  </conditionalFormatting>
  <dataValidations count="1">
    <dataValidation allowBlank="true" errorStyle="stop" operator="between" showDropDown="false" showErrorMessage="false" showInputMessage="false" sqref="R6:R15" type="list">
      <formula1>"Oui,Non"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4"/>
    <col collapsed="false" customWidth="true" hidden="false" outlineLevel="0" max="3" min="3" style="0" width="22"/>
    <col collapsed="false" customWidth="true" hidden="false" outlineLevel="0" max="4" min="4" style="0" width="52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7" min="7" style="0" width="13"/>
  </cols>
  <sheetData>
    <row r="1" customFormat="false" ht="24" hidden="false" customHeight="true" outlineLevel="0" collapsed="false">
      <c r="A1" s="1" t="s">
        <v>70</v>
      </c>
    </row>
    <row r="2" customFormat="false" ht="15" hidden="false" customHeight="false" outlineLevel="0" collapsed="false">
      <c r="A2" s="2" t="s">
        <v>71</v>
      </c>
    </row>
    <row r="5" customFormat="false" ht="30" hidden="false" customHeight="true" outlineLevel="0" collapsed="false">
      <c r="A5" s="3" t="s">
        <v>72</v>
      </c>
      <c r="B5" s="4" t="s">
        <v>30</v>
      </c>
      <c r="C5" s="4" t="s">
        <v>31</v>
      </c>
      <c r="D5" s="4" t="s">
        <v>73</v>
      </c>
      <c r="E5" s="4" t="s">
        <v>74</v>
      </c>
      <c r="F5" s="4" t="s">
        <v>75</v>
      </c>
      <c r="G5" s="4" t="s">
        <v>76</v>
      </c>
    </row>
    <row r="6" customFormat="false" ht="15" hidden="false" customHeight="false" outlineLevel="0" collapsed="false">
      <c r="A6" s="21" t="n">
        <v>1</v>
      </c>
      <c r="B6" s="15" t="s">
        <v>49</v>
      </c>
      <c r="C6" s="5" t="str">
        <f aca="false">IF(B6="","",IFERROR(INDEX('Suivi par lot'!$B$6:$B$15,MATCH(B6,'Suivi par lot'!$A$6:$A$15,0)),"Lot inconnu"))</f>
        <v>Delmas TP</v>
      </c>
      <c r="D6" s="15" t="s">
        <v>77</v>
      </c>
      <c r="E6" s="11" t="n">
        <v>9000</v>
      </c>
      <c r="F6" s="15" t="s">
        <v>78</v>
      </c>
      <c r="G6" s="8" t="n">
        <v>46091</v>
      </c>
    </row>
    <row r="7" customFormat="false" ht="15" hidden="false" customHeight="false" outlineLevel="0" collapsed="false">
      <c r="A7" s="21" t="n">
        <v>2</v>
      </c>
      <c r="B7" s="15" t="s">
        <v>52</v>
      </c>
      <c r="C7" s="5" t="str">
        <f aca="false">IF(B7="","",IFERROR(INDEX('Suivi par lot'!$B$6:$B$15,MATCH(B7,'Suivi par lot'!$A$6:$A$15,0)),"Lot inconnu"))</f>
        <v>SARL Bâti Sud</v>
      </c>
      <c r="D7" s="15" t="s">
        <v>79</v>
      </c>
      <c r="E7" s="11" t="n">
        <v>22000</v>
      </c>
      <c r="F7" s="15" t="s">
        <v>78</v>
      </c>
      <c r="G7" s="8" t="n">
        <v>46160</v>
      </c>
    </row>
    <row r="8" customFormat="false" ht="15" hidden="false" customHeight="false" outlineLevel="0" collapsed="false">
      <c r="A8" s="21" t="n">
        <v>3</v>
      </c>
      <c r="B8" s="15" t="s">
        <v>52</v>
      </c>
      <c r="C8" s="5" t="str">
        <f aca="false">IF(B8="","",IFERROR(INDEX('Suivi par lot'!$B$6:$B$15,MATCH(B8,'Suivi par lot'!$A$6:$A$15,0)),"Lot inconnu"))</f>
        <v>SARL Bâti Sud</v>
      </c>
      <c r="D8" s="15" t="s">
        <v>80</v>
      </c>
      <c r="E8" s="11" t="n">
        <v>12000</v>
      </c>
      <c r="F8" s="15" t="s">
        <v>78</v>
      </c>
      <c r="G8" s="8" t="n">
        <v>46198</v>
      </c>
    </row>
    <row r="9" customFormat="false" ht="15" hidden="false" customHeight="false" outlineLevel="0" collapsed="false">
      <c r="A9" s="21" t="n">
        <v>4</v>
      </c>
      <c r="B9" s="15" t="s">
        <v>52</v>
      </c>
      <c r="C9" s="5" t="str">
        <f aca="false">IF(B9="","",IFERROR(INDEX('Suivi par lot'!$B$6:$B$15,MATCH(B9,'Suivi par lot'!$A$6:$A$15,0)),"Lot inconnu"))</f>
        <v>SARL Bâti Sud</v>
      </c>
      <c r="D9" s="15" t="s">
        <v>81</v>
      </c>
      <c r="E9" s="11" t="n">
        <v>12000</v>
      </c>
      <c r="F9" s="15" t="s">
        <v>82</v>
      </c>
      <c r="G9" s="8" t="n">
        <v>46287</v>
      </c>
    </row>
    <row r="10" customFormat="false" ht="15" hidden="false" customHeight="false" outlineLevel="0" collapsed="false">
      <c r="A10" s="21" t="n">
        <v>5</v>
      </c>
      <c r="B10" s="15" t="s">
        <v>57</v>
      </c>
      <c r="C10" s="5" t="str">
        <f aca="false">IF(B10="","",IFERROR(INDEX('Suivi par lot'!$B$6:$B$15,MATCH(B10,'Suivi par lot'!$A$6:$A$15,0)),"Lot inconnu"))</f>
        <v>Menuiseries Aubry</v>
      </c>
      <c r="D10" s="15" t="s">
        <v>83</v>
      </c>
      <c r="E10" s="11" t="n">
        <v>6000</v>
      </c>
      <c r="F10" s="15" t="s">
        <v>78</v>
      </c>
      <c r="G10" s="8" t="n">
        <v>46217</v>
      </c>
    </row>
    <row r="11" customFormat="false" ht="15" hidden="false" customHeight="false" outlineLevel="0" collapsed="false">
      <c r="A11" s="21" t="n">
        <v>6</v>
      </c>
      <c r="B11" s="15" t="s">
        <v>61</v>
      </c>
      <c r="C11" s="5" t="str">
        <f aca="false">IF(B11="","",IFERROR(INDEX('Suivi par lot'!$B$6:$B$15,MATCH(B11,'Suivi par lot'!$A$6:$A$15,0)),"Lot inconnu"))</f>
        <v>Électricité Roux</v>
      </c>
      <c r="D11" s="15" t="s">
        <v>84</v>
      </c>
      <c r="E11" s="11" t="n">
        <v>4800</v>
      </c>
      <c r="F11" s="15" t="s">
        <v>82</v>
      </c>
      <c r="G11" s="8" t="n">
        <v>46273</v>
      </c>
    </row>
    <row r="12" customFormat="false" ht="15" hidden="false" customHeight="false" outlineLevel="0" collapsed="false">
      <c r="A12" s="21" t="n">
        <v>7</v>
      </c>
      <c r="B12" s="15" t="s">
        <v>65</v>
      </c>
      <c r="C12" s="5" t="str">
        <f aca="false">IF(B12="","",IFERROR(INDEX('Suivi par lot'!$B$6:$B$15,MATCH(B12,'Suivi par lot'!$A$6:$A$15,0)),"Lot inconnu"))</f>
        <v>Paysages Lambert</v>
      </c>
      <c r="D12" s="15" t="s">
        <v>85</v>
      </c>
      <c r="E12" s="11" t="n">
        <v>-7000</v>
      </c>
      <c r="F12" s="15" t="s">
        <v>78</v>
      </c>
      <c r="G12" s="8" t="n">
        <v>46237</v>
      </c>
    </row>
    <row r="13" customFormat="false" ht="15" hidden="false" customHeight="false" outlineLevel="0" collapsed="false">
      <c r="A13" s="21"/>
      <c r="B13" s="15"/>
      <c r="C13" s="5" t="str">
        <f aca="false">IF(B13="","",IFERROR(INDEX('Suivi par lot'!$B$6:$B$15,MATCH(B13,'Suivi par lot'!$A$6:$A$15,0)),"Lot inconnu"))</f>
        <v/>
      </c>
      <c r="D13" s="15"/>
      <c r="E13" s="11"/>
      <c r="F13" s="15"/>
      <c r="G13" s="8"/>
    </row>
    <row r="14" customFormat="false" ht="15" hidden="false" customHeight="false" outlineLevel="0" collapsed="false">
      <c r="A14" s="21"/>
      <c r="B14" s="15"/>
      <c r="C14" s="5" t="str">
        <f aca="false">IF(B14="","",IFERROR(INDEX('Suivi par lot'!$B$6:$B$15,MATCH(B14,'Suivi par lot'!$A$6:$A$15,0)),"Lot inconnu"))</f>
        <v/>
      </c>
      <c r="D14" s="15"/>
      <c r="E14" s="11"/>
      <c r="F14" s="15"/>
      <c r="G14" s="8"/>
    </row>
    <row r="15" customFormat="false" ht="15" hidden="false" customHeight="false" outlineLevel="0" collapsed="false">
      <c r="A15" s="21"/>
      <c r="B15" s="15"/>
      <c r="C15" s="5" t="str">
        <f aca="false">IF(B15="","",IFERROR(INDEX('Suivi par lot'!$B$6:$B$15,MATCH(B15,'Suivi par lot'!$A$6:$A$15,0)),"Lot inconnu"))</f>
        <v/>
      </c>
      <c r="D15" s="15"/>
      <c r="E15" s="11"/>
      <c r="F15" s="15"/>
      <c r="G15" s="8"/>
    </row>
    <row r="16" customFormat="false" ht="15" hidden="false" customHeight="false" outlineLevel="0" collapsed="false">
      <c r="A16" s="21"/>
      <c r="B16" s="15"/>
      <c r="C16" s="5" t="str">
        <f aca="false">IF(B16="","",IFERROR(INDEX('Suivi par lot'!$B$6:$B$15,MATCH(B16,'Suivi par lot'!$A$6:$A$15,0)),"Lot inconnu"))</f>
        <v/>
      </c>
      <c r="D16" s="15"/>
      <c r="E16" s="11"/>
      <c r="F16" s="15"/>
      <c r="G16" s="8"/>
    </row>
    <row r="17" customFormat="false" ht="15" hidden="false" customHeight="false" outlineLevel="0" collapsed="false">
      <c r="A17" s="21"/>
      <c r="B17" s="15"/>
      <c r="C17" s="5" t="str">
        <f aca="false">IF(B17="","",IFERROR(INDEX('Suivi par lot'!$B$6:$B$15,MATCH(B17,'Suivi par lot'!$A$6:$A$15,0)),"Lot inconnu"))</f>
        <v/>
      </c>
      <c r="D17" s="15"/>
      <c r="E17" s="11"/>
      <c r="F17" s="15"/>
      <c r="G17" s="8"/>
    </row>
    <row r="18" customFormat="false" ht="15" hidden="false" customHeight="false" outlineLevel="0" collapsed="false">
      <c r="A18" s="21"/>
      <c r="B18" s="15"/>
      <c r="C18" s="5" t="str">
        <f aca="false">IF(B18="","",IFERROR(INDEX('Suivi par lot'!$B$6:$B$15,MATCH(B18,'Suivi par lot'!$A$6:$A$15,0)),"Lot inconnu"))</f>
        <v/>
      </c>
      <c r="D18" s="15"/>
      <c r="E18" s="11"/>
      <c r="F18" s="15"/>
      <c r="G18" s="8"/>
    </row>
    <row r="19" customFormat="false" ht="15" hidden="false" customHeight="false" outlineLevel="0" collapsed="false">
      <c r="A19" s="21"/>
      <c r="B19" s="15"/>
      <c r="C19" s="5" t="str">
        <f aca="false">IF(B19="","",IFERROR(INDEX('Suivi par lot'!$B$6:$B$15,MATCH(B19,'Suivi par lot'!$A$6:$A$15,0)),"Lot inconnu"))</f>
        <v/>
      </c>
      <c r="D19" s="15"/>
      <c r="E19" s="11"/>
      <c r="F19" s="15"/>
      <c r="G19" s="8"/>
    </row>
    <row r="20" customFormat="false" ht="15" hidden="false" customHeight="false" outlineLevel="0" collapsed="false">
      <c r="A20" s="21"/>
      <c r="B20" s="15"/>
      <c r="C20" s="5" t="str">
        <f aca="false">IF(B20="","",IFERROR(INDEX('Suivi par lot'!$B$6:$B$15,MATCH(B20,'Suivi par lot'!$A$6:$A$15,0)),"Lot inconnu"))</f>
        <v/>
      </c>
      <c r="D20" s="15"/>
      <c r="E20" s="11"/>
      <c r="F20" s="15"/>
      <c r="G20" s="8"/>
    </row>
    <row r="21" customFormat="false" ht="15" hidden="false" customHeight="false" outlineLevel="0" collapsed="false">
      <c r="A21" s="21"/>
      <c r="B21" s="15"/>
      <c r="C21" s="5" t="str">
        <f aca="false">IF(B21="","",IFERROR(INDEX('Suivi par lot'!$B$6:$B$15,MATCH(B21,'Suivi par lot'!$A$6:$A$15,0)),"Lot inconnu"))</f>
        <v/>
      </c>
      <c r="D21" s="15"/>
      <c r="E21" s="11"/>
      <c r="F21" s="15"/>
      <c r="G21" s="8"/>
    </row>
    <row r="22" customFormat="false" ht="15" hidden="false" customHeight="false" outlineLevel="0" collapsed="false">
      <c r="A22" s="21"/>
      <c r="B22" s="15"/>
      <c r="C22" s="5" t="str">
        <f aca="false">IF(B22="","",IFERROR(INDEX('Suivi par lot'!$B$6:$B$15,MATCH(B22,'Suivi par lot'!$A$6:$A$15,0)),"Lot inconnu"))</f>
        <v/>
      </c>
      <c r="D22" s="15"/>
      <c r="E22" s="11"/>
      <c r="F22" s="15"/>
      <c r="G22" s="8"/>
    </row>
    <row r="23" customFormat="false" ht="15" hidden="false" customHeight="false" outlineLevel="0" collapsed="false">
      <c r="A23" s="21"/>
      <c r="B23" s="15"/>
      <c r="C23" s="5" t="str">
        <f aca="false">IF(B23="","",IFERROR(INDEX('Suivi par lot'!$B$6:$B$15,MATCH(B23,'Suivi par lot'!$A$6:$A$15,0)),"Lot inconnu"))</f>
        <v/>
      </c>
      <c r="D23" s="15"/>
      <c r="E23" s="11"/>
      <c r="F23" s="15"/>
      <c r="G23" s="8"/>
    </row>
    <row r="24" customFormat="false" ht="15" hidden="false" customHeight="false" outlineLevel="0" collapsed="false">
      <c r="A24" s="21"/>
      <c r="B24" s="15"/>
      <c r="C24" s="5" t="str">
        <f aca="false">IF(B24="","",IFERROR(INDEX('Suivi par lot'!$B$6:$B$15,MATCH(B24,'Suivi par lot'!$A$6:$A$15,0)),"Lot inconnu"))</f>
        <v/>
      </c>
      <c r="D24" s="15"/>
      <c r="E24" s="11"/>
      <c r="F24" s="15"/>
      <c r="G24" s="8"/>
    </row>
    <row r="25" customFormat="false" ht="15" hidden="false" customHeight="false" outlineLevel="0" collapsed="false">
      <c r="A25" s="21"/>
      <c r="B25" s="15"/>
      <c r="C25" s="5" t="str">
        <f aca="false">IF(B25="","",IFERROR(INDEX('Suivi par lot'!$B$6:$B$15,MATCH(B25,'Suivi par lot'!$A$6:$A$15,0)),"Lot inconnu"))</f>
        <v/>
      </c>
      <c r="D25" s="15"/>
      <c r="E25" s="11"/>
      <c r="F25" s="15"/>
      <c r="G25" s="8"/>
    </row>
    <row r="27" customFormat="false" ht="15" hidden="false" customHeight="false" outlineLevel="0" collapsed="false">
      <c r="A27" s="22" t="s">
        <v>86</v>
      </c>
      <c r="E27" s="23" t="n">
        <f aca="false">SUMIF(F6:F25,"Signé",E6:E25)</f>
        <v>42000</v>
      </c>
    </row>
    <row r="28" customFormat="false" ht="15" hidden="false" customHeight="false" outlineLevel="0" collapsed="false">
      <c r="A28" s="22" t="s">
        <v>87</v>
      </c>
      <c r="E28" s="23" t="n">
        <f aca="false">SUMIF(F6:F25,"En discussion",E6:E25)</f>
        <v>16800</v>
      </c>
    </row>
    <row r="29" customFormat="false" ht="15" hidden="false" customHeight="false" outlineLevel="0" collapsed="false">
      <c r="A29" s="22" t="s">
        <v>88</v>
      </c>
      <c r="E29" s="24" t="str">
        <f aca="false">IF(COUNTIF(C6:C25,"Lot inconnu")=0,"Oui","Non : lot inconnu")</f>
        <v>Oui</v>
      </c>
    </row>
  </sheetData>
  <conditionalFormatting sqref="C6:C25">
    <cfRule type="expression" priority="2" aboveAverage="0" equalAverage="0" bottom="0" percent="0" rank="0" text="" dxfId="0">
      <formula>C6="Lot inconnu"</formula>
    </cfRule>
  </conditionalFormatting>
  <dataValidations count="2">
    <dataValidation allowBlank="true" errorStyle="stop" operator="between" showDropDown="false" showErrorMessage="false" showInputMessage="false" sqref="B6:B25" type="list">
      <formula1>'Suivi par lot'!$A$6:$A$15</formula1>
      <formula2>0</formula2>
    </dataValidation>
    <dataValidation allowBlank="true" errorStyle="stop" operator="between" showDropDown="false" showErrorMessage="false" showInputMessage="false" sqref="F6:F25" type="list">
      <formula1>"Signé,En discussion"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20"/>
    <col collapsed="false" customWidth="true" hidden="false" outlineLevel="0" max="3" min="3" style="0" width="62"/>
  </cols>
  <sheetData>
    <row r="1" customFormat="false" ht="24" hidden="false" customHeight="true" outlineLevel="0" collapsed="false">
      <c r="A1" s="1" t="s">
        <v>89</v>
      </c>
    </row>
    <row r="2" customFormat="false" ht="15" hidden="false" customHeight="false" outlineLevel="0" collapsed="false">
      <c r="A2" s="2" t="s">
        <v>90</v>
      </c>
    </row>
    <row r="4" customFormat="false" ht="24" hidden="false" customHeight="true" outlineLevel="0" collapsed="false">
      <c r="A4" s="3" t="s">
        <v>91</v>
      </c>
      <c r="B4" s="4" t="s">
        <v>3</v>
      </c>
      <c r="C4" s="4" t="s">
        <v>4</v>
      </c>
    </row>
    <row r="5" customFormat="false" ht="15" hidden="false" customHeight="false" outlineLevel="0" collapsed="false">
      <c r="A5" s="12" t="s">
        <v>92</v>
      </c>
      <c r="B5" s="13"/>
      <c r="C5" s="13"/>
    </row>
    <row r="6" customFormat="false" ht="15" hidden="false" customHeight="false" outlineLevel="0" collapsed="false">
      <c r="A6" s="22" t="s">
        <v>93</v>
      </c>
      <c r="B6" s="23" t="n">
        <f aca="false">'Suivi par lot'!C16</f>
        <v>2645000</v>
      </c>
      <c r="C6" s="7" t="s">
        <v>94</v>
      </c>
    </row>
    <row r="7" customFormat="false" ht="15" hidden="false" customHeight="false" outlineLevel="0" collapsed="false">
      <c r="A7" s="5" t="s">
        <v>95</v>
      </c>
      <c r="B7" s="16" t="n">
        <f aca="false">'Suivi par lot'!F16</f>
        <v>2261300</v>
      </c>
      <c r="C7" s="7"/>
    </row>
    <row r="8" customFormat="false" ht="15" hidden="false" customHeight="false" outlineLevel="0" collapsed="false">
      <c r="A8" s="5" t="s">
        <v>96</v>
      </c>
      <c r="B8" s="16" t="n">
        <f aca="false">'Suivi par lot'!O16</f>
        <v>1736500</v>
      </c>
      <c r="C8" s="7"/>
    </row>
    <row r="9" customFormat="false" ht="15" hidden="false" customHeight="false" outlineLevel="0" collapsed="false">
      <c r="A9" s="5" t="s">
        <v>43</v>
      </c>
      <c r="B9" s="16" t="n">
        <f aca="false">'Suivi par lot'!T16</f>
        <v>1379750</v>
      </c>
      <c r="C9" s="7" t="s">
        <v>97</v>
      </c>
    </row>
    <row r="10" customFormat="false" ht="15" hidden="false" customHeight="false" outlineLevel="0" collapsed="false">
      <c r="A10" s="5" t="s">
        <v>39</v>
      </c>
      <c r="B10" s="17" t="n">
        <f aca="false">IF(B7&gt;0,B8/B7,0)</f>
        <v>0.767921107327643</v>
      </c>
      <c r="C10" s="7"/>
    </row>
    <row r="11" customFormat="false" ht="15" hidden="false" customHeight="false" outlineLevel="0" collapsed="false">
      <c r="A11" s="12" t="s">
        <v>98</v>
      </c>
      <c r="B11" s="13"/>
      <c r="C11" s="13"/>
    </row>
    <row r="12" customFormat="false" ht="15" hidden="false" customHeight="false" outlineLevel="0" collapsed="false">
      <c r="A12" s="5" t="s">
        <v>99</v>
      </c>
      <c r="B12" s="16" t="n">
        <f aca="false">'Suivi par lot'!Q16</f>
        <v>293000</v>
      </c>
      <c r="C12" s="7"/>
    </row>
    <row r="13" customFormat="false" ht="15" hidden="false" customHeight="false" outlineLevel="0" collapsed="false">
      <c r="A13" s="5" t="s">
        <v>100</v>
      </c>
      <c r="B13" s="16" t="n">
        <f aca="false">'Suivi par lot'!S16</f>
        <v>63750</v>
      </c>
      <c r="C13" s="7" t="s">
        <v>101</v>
      </c>
    </row>
    <row r="14" customFormat="false" ht="15" hidden="false" customHeight="false" outlineLevel="0" collapsed="false">
      <c r="A14" s="5" t="s">
        <v>44</v>
      </c>
      <c r="B14" s="16" t="n">
        <f aca="false">'Suivi par lot'!U16</f>
        <v>356750</v>
      </c>
      <c r="C14" s="7" t="s">
        <v>102</v>
      </c>
    </row>
    <row r="15" customFormat="false" ht="15" hidden="false" customHeight="false" outlineLevel="0" collapsed="false">
      <c r="A15" s="5" t="s">
        <v>45</v>
      </c>
      <c r="B15" s="16" t="n">
        <f aca="false">'Suivi par lot'!V16</f>
        <v>532800</v>
      </c>
      <c r="C15" s="7" t="s">
        <v>103</v>
      </c>
    </row>
    <row r="16" customFormat="false" ht="15" hidden="false" customHeight="false" outlineLevel="0" collapsed="false">
      <c r="A16" s="12" t="s">
        <v>104</v>
      </c>
      <c r="B16" s="13"/>
      <c r="C16" s="13"/>
    </row>
    <row r="17" customFormat="false" ht="15" hidden="false" customHeight="false" outlineLevel="0" collapsed="false">
      <c r="A17" s="5" t="s">
        <v>15</v>
      </c>
      <c r="B17" s="16" t="n">
        <f aca="false">PROVISION_ALEAS</f>
        <v>70000</v>
      </c>
      <c r="C17" s="7"/>
    </row>
    <row r="18" customFormat="false" ht="15" hidden="false" customHeight="false" outlineLevel="0" collapsed="false">
      <c r="A18" s="5" t="s">
        <v>105</v>
      </c>
      <c r="B18" s="16" t="n">
        <f aca="false">B6+B17</f>
        <v>2715000</v>
      </c>
      <c r="C18" s="7"/>
    </row>
    <row r="19" customFormat="false" ht="15" hidden="false" customHeight="false" outlineLevel="0" collapsed="false">
      <c r="A19" s="22" t="s">
        <v>106</v>
      </c>
      <c r="B19" s="23" t="n">
        <f aca="false">'Suivi par lot'!W16+PROVISION_REVISION</f>
        <v>2689100</v>
      </c>
      <c r="C19" s="7" t="s">
        <v>107</v>
      </c>
    </row>
    <row r="20" customFormat="false" ht="15" hidden="false" customHeight="false" outlineLevel="0" collapsed="false">
      <c r="A20" s="5" t="s">
        <v>108</v>
      </c>
      <c r="B20" s="16" t="n">
        <f aca="false">B19-B6</f>
        <v>44100</v>
      </c>
      <c r="C20" s="7" t="s">
        <v>109</v>
      </c>
    </row>
    <row r="21" customFormat="false" ht="15" hidden="false" customHeight="false" outlineLevel="0" collapsed="false">
      <c r="A21" s="22" t="s">
        <v>110</v>
      </c>
      <c r="B21" s="23" t="n">
        <f aca="false">B17-MAX(B20,0)</f>
        <v>25900</v>
      </c>
      <c r="C21" s="7"/>
    </row>
    <row r="22" customFormat="false" ht="15" hidden="false" customHeight="false" outlineLevel="0" collapsed="false">
      <c r="A22" s="5" t="s">
        <v>111</v>
      </c>
      <c r="B22" s="17" t="n">
        <f aca="false">IF(B17&gt;0,MAX(B20,0)/B17,0)</f>
        <v>0.63</v>
      </c>
      <c r="C22" s="7"/>
    </row>
    <row r="23" customFormat="false" ht="15" hidden="false" customHeight="false" outlineLevel="0" collapsed="false">
      <c r="A23" s="12" t="s">
        <v>112</v>
      </c>
      <c r="B23" s="13"/>
      <c r="C23" s="13"/>
    </row>
    <row r="24" customFormat="false" ht="15" hidden="false" customHeight="false" outlineLevel="0" collapsed="false">
      <c r="A24" s="5" t="s">
        <v>113</v>
      </c>
      <c r="B24" s="10" t="str">
        <f aca="false">'Suivi par lot'!Y16</f>
        <v>2 lot(s) à examiner</v>
      </c>
      <c r="C24" s="7" t="s">
        <v>114</v>
      </c>
    </row>
    <row r="25" customFormat="false" ht="15" hidden="false" customHeight="false" outlineLevel="0" collapsed="false">
      <c r="A25" s="5" t="s">
        <v>115</v>
      </c>
      <c r="B25" s="10" t="str">
        <f aca="false">Paramètres!B9</f>
        <v>Conforme</v>
      </c>
      <c r="C25" s="7" t="s">
        <v>116</v>
      </c>
    </row>
    <row r="26" customFormat="false" ht="15" hidden="false" customHeight="false" outlineLevel="0" collapsed="false">
      <c r="A26" s="5" t="s">
        <v>117</v>
      </c>
      <c r="B26" s="10" t="str">
        <f aca="false">IF(ABS(Avenants!E27-'Suivi par lot'!E16)&lt;0.01,"Conforme","Écart : un avenant porte sur un lot inconnu")</f>
        <v>Conforme</v>
      </c>
      <c r="C26" s="7"/>
    </row>
    <row r="27" customFormat="false" ht="15" hidden="false" customHeight="false" outlineLevel="0" collapsed="false">
      <c r="A27" s="5" t="s">
        <v>118</v>
      </c>
      <c r="B27" s="10" t="str">
        <f aca="false">IF(ABS(B8-B9-B12-B13)&lt;0.01,"Conforme","Écart")</f>
        <v>Conforme</v>
      </c>
      <c r="C27" s="7"/>
    </row>
  </sheetData>
  <conditionalFormatting sqref="B25:B27">
    <cfRule type="expression" priority="2" aboveAverage="0" equalAverage="0" bottom="0" percent="0" rank="0" text="" dxfId="0">
      <formula>B25&lt;&gt;"Conforme"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2026-10-15T08:07:40Z</dcterms:created>
  <dc:creator>CAP IMMO</dc:creator>
  <dc:description/>
  <dc:language>fr-FR</dc:language>
  <cp:lastModifiedBy/>
  <dcterms:modified xsi:type="dcterms:W3CDTF">2026-10-15T08:07:40Z</dcterms:modified>
  <cp:revision>0</cp:revision>
  <dc:subject>Marchés, avenants, situations cumulées, retenue de garantie et coût à terminaison — données d'exemple fictives</dc:subject>
  <dc:title>Modèle de suivi budgétaire de chantier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