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ypothèses" sheetId="1" state="visible" r:id="rId3"/>
    <sheet name="Plan mensuel" sheetId="2" state="visible" r:id="rId4"/>
    <sheet name="Synthèse" sheetId="3" state="visible" r:id="rId5"/>
  </sheets>
  <definedNames>
    <definedName function="false" hidden="false" name="ALEAS" vbProcedure="false">Hypothèses!$B$33</definedName>
    <definedName function="false" hidden="false" name="APPEL_ACHEVEMENT" vbProcedure="false">Hypothèses!$E$56</definedName>
    <definedName function="false" hidden="false" name="APPEL_FONDATIONS" vbProcedure="false">Hypothèses!$E$54</definedName>
    <definedName function="false" hidden="false" name="APPEL_HORS_EAU" vbProcedure="false">Hypothèses!$E$55</definedName>
    <definedName function="false" hidden="false" name="APPEL_LIVRAISON" vbProcedure="false">Hypothèses!$E$57</definedName>
    <definedName function="false" hidden="false" name="ASSURANCES" vbProcedure="false">Hypothèses!$B$38</definedName>
    <definedName function="false" hidden="false" name="CA_HT" vbProcedure="false">Hypothèses!$B$17</definedName>
    <definedName function="false" hidden="false" name="CA_TTC" vbProcedure="false">Hypothèses!$B$15</definedName>
    <definedName function="false" hidden="false" name="COMMERCIALISATION" vbProcedure="false">Hypothèses!$B$40</definedName>
    <definedName function="false" hidden="false" name="COUT_M2" vbProcedure="false">Hypothèses!$B$31</definedName>
    <definedName function="false" hidden="false" name="DEBUT_PLAN" vbProcedure="false">Hypothèses!$B$7</definedName>
    <definedName function="false" hidden="false" name="DELAI_LIVRAISON" vbProcedure="false">Hypothèses!$B$12</definedName>
    <definedName function="false" hidden="false" name="DUREE_CHANTIER" vbProcedure="false">Hypothèses!$B$10</definedName>
    <definedName function="false" hidden="false" name="DUREE_VENTES" vbProcedure="false">Hypothèses!$B$21</definedName>
    <definedName function="false" hidden="false" name="FONDS_PROPRES" vbProcedure="false">Hypothèses!$B$44</definedName>
    <definedName function="false" hidden="false" name="FRAIS_ACQ" vbProcedure="false">Hypothèses!$B$26</definedName>
    <definedName function="false" hidden="false" name="FRAIS_DOSSIER" vbProcedure="false">Hypothèses!$B$47</definedName>
    <definedName function="false" hidden="false" name="GESTION" vbProcedure="false">Hypothèses!$B$42</definedName>
    <definedName function="false" hidden="false" name="GFA_MONTANT" vbProcedure="false">Hypothèses!$B$48</definedName>
    <definedName function="false" hidden="false" name="GFA_TAUX" vbProcedure="false">Hypothèses!$B$49</definedName>
    <definedName function="false" hidden="false" name="HONORAIRES" vbProcedure="false">Hypothèses!$B$36</definedName>
    <definedName function="false" hidden="false" name="HONO_AVANT" vbProcedure="false">Hypothèses!$B$37</definedName>
    <definedName function="false" hidden="false" name="MOIS_ACHEVEMENT" vbProcedure="false">Hypothèses!$B$11</definedName>
    <definedName function="false" hidden="false" name="MOIS_LIVRAISON" vbProcedure="false">Hypothèses!$B$13</definedName>
    <definedName function="false" hidden="false" name="MOIS_TAXES" vbProcedure="false">Hypothèses!$B$28</definedName>
    <definedName function="false" hidden="false" name="MOIS_TERRAIN" vbProcedure="false">Hypothèses!$B$8</definedName>
    <definedName function="false" hidden="false" name="MOIS_TRAVAUX" vbProcedure="false">Hypothèses!$B$9</definedName>
    <definedName function="false" hidden="false" name="MOIS_VENTES" vbProcedure="false">Hypothèses!$B$19</definedName>
    <definedName function="false" hidden="false" name="NOM_OPERATION" vbProcedure="false">Hypothèses!$B$6</definedName>
    <definedName function="false" hidden="false" name="PLAFOND_CREDIT" vbProcedure="false">Hypothèses!$B$45</definedName>
    <definedName function="false" hidden="false" name="POINT_BAS" vbProcedure="false">Synthèse!$B$6</definedName>
    <definedName function="false" hidden="false" name="PRECOMMERCIALISATION" vbProcedure="false">Hypothèses!$B$20</definedName>
    <definedName function="false" hidden="false" name="PRIX_TERRAIN" vbProcedure="false">Hypothèses!$B$25</definedName>
    <definedName function="false" hidden="false" name="PUBLICITE" vbProcedure="false">Hypothèses!$B$41</definedName>
    <definedName function="false" hidden="false" name="SDP" vbProcedure="false">Hypothèses!$B$30</definedName>
    <definedName function="false" hidden="false" name="SEUIL_FONDATIONS" vbProcedure="false">Hypothèses!$B$54</definedName>
    <definedName function="false" hidden="false" name="SEUIL_HORS_EAU" vbProcedure="false">Hypothèses!$B$55</definedName>
    <definedName function="false" hidden="false" name="TAUX_CREDIT" vbProcedure="false">Hypothèses!$B$46</definedName>
    <definedName function="false" hidden="false" name="TAXES_URBA" vbProcedure="false">Hypothèses!$B$27</definedName>
    <definedName function="false" hidden="false" name="TRAVAUX_HT" vbProcedure="false">Hypothèses!$B$34</definedName>
    <definedName function="false" hidden="false" name="TRESO_MIN" vbProcedure="false">Hypothèses!$B$50</definedName>
    <definedName function="false" hidden="false" name="TVA" vbProcedure="false">Hypothèses!$B$16</definedName>
    <definedName function="false" hidden="false" name="TVA_ACHATS" vbProcedure="false">Hypothèses!$B$23</definedName>
    <definedName function="false" hidden="false" name="VRD" vbProcedure="false">Hypothèses!$B$32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<sst xmlns="http://schemas.openxmlformats.org/spreadsheetml/2006/main" count="184" uniqueCount="175">
  <si>
    <t xml:space="preserve">Plan de trésorerie promoteur — hypothèses</t>
  </si>
  <si>
    <t xml:space="preserve">Modèle gratuit CAP IMMO · données d'exemple fictives, à remplacer · cellules jaunes = saisie · tous les montants en euros</t>
  </si>
  <si>
    <t xml:space="preserve">Hypothèse</t>
  </si>
  <si>
    <t xml:space="preserve">Valeur</t>
  </si>
  <si>
    <t xml:space="preserve">Unité et précision</t>
  </si>
  <si>
    <t xml:space="preserve">Opération et calendrier</t>
  </si>
  <si>
    <t xml:space="preserve">Nom de l'opération</t>
  </si>
  <si>
    <t xml:space="preserve">Résidence Les Oliviers</t>
  </si>
  <si>
    <t xml:space="preserve">Exemple fictif : la même opération que le modèle de bilan CAP IMMO</t>
  </si>
  <si>
    <t xml:space="preserve">Premier mois du plan</t>
  </si>
  <si>
    <t xml:space="preserve">Le mois 1 du plan mensuel</t>
  </si>
  <si>
    <t xml:space="preserve">Mois d'acquisition du terrain</t>
  </si>
  <si>
    <t xml:space="preserve">Signature de l'acte d'achat : prix, frais et frais de dossier bancaires</t>
  </si>
  <si>
    <t xml:space="preserve">Mois de démarrage des travaux</t>
  </si>
  <si>
    <t xml:space="preserve">Ouverture du chantier</t>
  </si>
  <si>
    <t xml:space="preserve">Durée du chantier</t>
  </si>
  <si>
    <t xml:space="preserve">De l'ouverture du chantier à l'achèvement de l'immeuble</t>
  </si>
  <si>
    <t xml:space="preserve">Mois d'achèvement de l'immeuble</t>
  </si>
  <si>
    <t xml:space="preserve">Calculé</t>
  </si>
  <si>
    <t xml:space="preserve">Délai entre achèvement et remise des clés</t>
  </si>
  <si>
    <t xml:space="preserve">Le solde de 5 % est appelé à la mise à disposition</t>
  </si>
  <si>
    <t xml:space="preserve">Mois de livraison</t>
  </si>
  <si>
    <t xml:space="preserve">Chiffre d'affaires</t>
  </si>
  <si>
    <t xml:space="preserve">Chiffre d'affaires TTC</t>
  </si>
  <si>
    <t xml:space="preserve">Total des prix de vente TTC du programme (12 lots dans l'exemple)</t>
  </si>
  <si>
    <t xml:space="preserve">Taux de TVA des ventes</t>
  </si>
  <si>
    <t xml:space="preserve">20 % en règle générale ; taux réduits sous conditions</t>
  </si>
  <si>
    <t xml:space="preserve">Chiffre d'affaires HT</t>
  </si>
  <si>
    <t xml:space="preserve">Rythme des ventes</t>
  </si>
  <si>
    <t xml:space="preserve">Mois de signature des premiers actes</t>
  </si>
  <si>
    <t xml:space="preserve">En général au démarrage du chantier, une fois la garantie financière d'achèvement délivrée</t>
  </si>
  <si>
    <t xml:space="preserve">Part du CA signée ce mois-là</t>
  </si>
  <si>
    <t xml:space="preserve">La pré-commercialisation exigée par la banque, réservations converties en actes</t>
  </si>
  <si>
    <t xml:space="preserve">Durée d'écoulement du reste</t>
  </si>
  <si>
    <t xml:space="preserve">Le reste des actes se signe à rythme régulier sur cette durée</t>
  </si>
  <si>
    <t xml:space="preserve">Taux de TVA des achats</t>
  </si>
  <si>
    <t xml:space="preserve">Taux de TVA sur travaux, honoraires et commercialisation</t>
  </si>
  <si>
    <t xml:space="preserve">TVA déductible payée aux fournisseurs ; le terrain, les assurances et les frais financiers n'en portent pas ici</t>
  </si>
  <si>
    <t xml:space="preserve">Foncier et taxes</t>
  </si>
  <si>
    <t xml:space="preserve">Prix du terrain</t>
  </si>
  <si>
    <t xml:space="preserve">Prix net vendeur, terrain acquis sans TVA dans l'exemple</t>
  </si>
  <si>
    <t xml:space="preserve">Frais d'acquisition</t>
  </si>
  <si>
    <t xml:space="preserve">En % du prix du terrain : à faire chiffrer par le notaire</t>
  </si>
  <si>
    <t xml:space="preserve">Taxe d'aménagement et archéologie préventive</t>
  </si>
  <si>
    <t xml:space="preserve">Estimation ; payée en une fois, trois mois après l'achèvement</t>
  </si>
  <si>
    <t xml:space="preserve">Mois de paiement des taxes d'urbanisme</t>
  </si>
  <si>
    <t xml:space="preserve">Calculé : 90 jours après l'achèvement (en deux fois au-delà de 100 000 €)</t>
  </si>
  <si>
    <t xml:space="preserve">Travaux</t>
  </si>
  <si>
    <t xml:space="preserve">Surface de plancher (SDP)</t>
  </si>
  <si>
    <t xml:space="preserve">Surface du permis de construire</t>
  </si>
  <si>
    <t xml:space="preserve">Coût de construction HT au m² de SDP</t>
  </si>
  <si>
    <t xml:space="preserve">Hypothèse d'exemple</t>
  </si>
  <si>
    <t xml:space="preserve">VRD et aménagements extérieurs</t>
  </si>
  <si>
    <t xml:space="preserve">Montant HT</t>
  </si>
  <si>
    <t xml:space="preserve">Aléas et imprévus</t>
  </si>
  <si>
    <t xml:space="preserve">En % de la construction et des VRD</t>
  </si>
  <si>
    <t xml:space="preserve">Total des travaux HT</t>
  </si>
  <si>
    <t xml:space="preserve">Calculé : réparti à parts égales sur chaque mois du chantier</t>
  </si>
  <si>
    <t xml:space="preserve">Honoraires et assurances</t>
  </si>
  <si>
    <t xml:space="preserve">Honoraires techniques</t>
  </si>
  <si>
    <t xml:space="preserve">Architecte, bureaux d'études, contrôle, SPS : en % de la construction et des VRD</t>
  </si>
  <si>
    <t xml:space="preserve">Part des honoraires payée avant le chantier</t>
  </si>
  <si>
    <t xml:space="preserve">Études et permis, réparties du mois 1 au mois précédant le chantier ; le reste pendant le chantier</t>
  </si>
  <si>
    <t xml:space="preserve">Assurances (dommages-ouvrage, TRC, CNR)</t>
  </si>
  <si>
    <t xml:space="preserve">En % de la construction et des VRD : payées au démarrage du chantier</t>
  </si>
  <si>
    <t xml:space="preserve">Commercialisation et gestion</t>
  </si>
  <si>
    <t xml:space="preserve">Honoraires de commercialisation</t>
  </si>
  <si>
    <t xml:space="preserve">En % du CA HT, payés à la signature de chaque acte</t>
  </si>
  <si>
    <t xml:space="preserve">Publicité, bureau de vente, documents</t>
  </si>
  <si>
    <t xml:space="preserve">Montant HT, réparti sur la période de commercialisation</t>
  </si>
  <si>
    <t xml:space="preserve">Frais de gestion et de structure</t>
  </si>
  <si>
    <t xml:space="preserve">En % du CA HT, répartis du mois 1 à la livraison ; sans TVA dans l'exemple</t>
  </si>
  <si>
    <t xml:space="preserve">Financement</t>
  </si>
  <si>
    <t xml:space="preserve">Fonds propres apportés</t>
  </si>
  <si>
    <t xml:space="preserve">Versés au mois 1 : la banque les veut engagés avant le premier tirage</t>
  </si>
  <si>
    <t xml:space="preserve">Plafond du crédit d'accompagnement</t>
  </si>
  <si>
    <t xml:space="preserve">Montant autorisé par la banque</t>
  </si>
  <si>
    <t xml:space="preserve">Taux annuel du crédit</t>
  </si>
  <si>
    <t xml:space="preserve">Hypothèse d'exemple : selon l'offre de la banque ; intérêts payés chaque mois</t>
  </si>
  <si>
    <t xml:space="preserve">Frais de dossier bancaires</t>
  </si>
  <si>
    <t xml:space="preserve">Payés au mois d'acquisition du terrain</t>
  </si>
  <si>
    <t xml:space="preserve">Montant garanti par la GFA</t>
  </si>
  <si>
    <t xml:space="preserve">Selon la convention de garantie financière d'achèvement</t>
  </si>
  <si>
    <t xml:space="preserve">Commission annuelle de GFA</t>
  </si>
  <si>
    <t xml:space="preserve">Payée chaque mois pendant le chantier</t>
  </si>
  <si>
    <t xml:space="preserve">Trésorerie minimale à conserver</t>
  </si>
  <si>
    <t xml:space="preserve">Le crédit est tiré pour ne jamais descendre sous ce solde</t>
  </si>
  <si>
    <t xml:space="preserve">Échéancier VEFA selon l'avancement du chantier</t>
  </si>
  <si>
    <t xml:space="preserve">Étape</t>
  </si>
  <si>
    <t xml:space="preserve">Avancement du chantier</t>
  </si>
  <si>
    <t xml:space="preserve">Cumul contractuel</t>
  </si>
  <si>
    <t xml:space="preserve">Plafond légal R261-14</t>
  </si>
  <si>
    <t xml:space="preserve">Cumul retenu</t>
  </si>
  <si>
    <t xml:space="preserve">Achèvement des fondations</t>
  </si>
  <si>
    <t xml:space="preserve">Mise hors d'eau</t>
  </si>
  <si>
    <t xml:space="preserve">Achèvement de l'immeuble</t>
  </si>
  <si>
    <t xml:space="preserve">Mise à disposition, remise des clés</t>
  </si>
  <si>
    <t xml:space="preserve">Livraison</t>
  </si>
  <si>
    <t xml:space="preserve">L'avancement du chantier progresse à parts égales chaque mois. Une étape est atteinte quand l'avancement dépasse son seuil ; l'achèvement, à 100 %.</t>
  </si>
  <si>
    <t xml:space="preserve">Cumul retenu = le plus petit du cumul contractuel et du plafond légal : un échéancier contractuel trop gourmand est ramené au plafond.</t>
  </si>
  <si>
    <t xml:space="preserve">L'échéancier qui fait foi est celui de l'acte de vente, rédigé par le notaire. Le dépôt de garantie de la réservation s'impute sur le prix.</t>
  </si>
  <si>
    <t xml:space="preserve">Plan de trésorerie mensuel</t>
  </si>
  <si>
    <t xml:space="preserve">48 mois, calculés depuis l'onglet Hypothèses · encaissements et décaissements en euros · aucune saisie sur cet onglet</t>
  </si>
  <si>
    <t xml:space="preserve">Calendrier</t>
  </si>
  <si>
    <t xml:space="preserve">Encaissements</t>
  </si>
  <si>
    <t xml:space="preserve">Décaissements</t>
  </si>
  <si>
    <t xml:space="preserve">TVA</t>
  </si>
  <si>
    <t xml:space="preserve">Financement et trésorerie</t>
  </si>
  <si>
    <t xml:space="preserve">Mois</t>
  </si>
  <si>
    <t xml:space="preserve">Date</t>
  </si>
  <si>
    <t xml:space="preserve">CA signé (cumul)</t>
  </si>
  <si>
    <t xml:space="preserve">Part appelable (cumul)</t>
  </si>
  <si>
    <t xml:space="preserve">Encaissé (cumul TTC)</t>
  </si>
  <si>
    <t xml:space="preserve">Encaissements VEFA TTC</t>
  </si>
  <si>
    <t xml:space="preserve">Apport de fonds propres</t>
  </si>
  <si>
    <t xml:space="preserve">Terrain et frais</t>
  </si>
  <si>
    <t xml:space="preserve">Taxes d'urbanisme</t>
  </si>
  <si>
    <t xml:space="preserve">Travaux HT</t>
  </si>
  <si>
    <t xml:space="preserve">Honoraires HT</t>
  </si>
  <si>
    <t xml:space="preserve">Assurances</t>
  </si>
  <si>
    <t xml:space="preserve">Commercialisation HT</t>
  </si>
  <si>
    <t xml:space="preserve">Gestion</t>
  </si>
  <si>
    <t xml:space="preserve">Frais de dossier et GFA</t>
  </si>
  <si>
    <t xml:space="preserve">TVA déductible</t>
  </si>
  <si>
    <t xml:space="preserve">TVA collectée</t>
  </si>
  <si>
    <t xml:space="preserve">TVA due du mois</t>
  </si>
  <si>
    <t xml:space="preserve">Crédit de TVA reporté</t>
  </si>
  <si>
    <t xml:space="preserve">TVA reversée (mois suivant)</t>
  </si>
  <si>
    <t xml:space="preserve">Total des décaissements</t>
  </si>
  <si>
    <t xml:space="preserve">Intérêts du crédit</t>
  </si>
  <si>
    <t xml:space="preserve">Flux avant financement</t>
  </si>
  <si>
    <t xml:space="preserve">Tirage du crédit</t>
  </si>
  <si>
    <t xml:space="preserve">Remboursement du crédit</t>
  </si>
  <si>
    <t xml:space="preserve">Encours du crédit (fin de mois)</t>
  </si>
  <si>
    <t xml:space="preserve">Solde de trésorerie (fin de mois)</t>
  </si>
  <si>
    <t xml:space="preserve">Cumul des flux hors financement</t>
  </si>
  <si>
    <t xml:space="preserve">Repère</t>
  </si>
  <si>
    <t xml:space="preserve">Total</t>
  </si>
  <si>
    <t xml:space="preserve">Synthèse du plan de trésorerie</t>
  </si>
  <si>
    <t xml:space="preserve">Calculée à partir du plan mensuel · aucune saisie sur cet onglet</t>
  </si>
  <si>
    <t xml:space="preserve">Indicateur</t>
  </si>
  <si>
    <t xml:space="preserve">Lecture</t>
  </si>
  <si>
    <t xml:space="preserve">Point bas</t>
  </si>
  <si>
    <t xml:space="preserve">Point bas de trésorerie</t>
  </si>
  <si>
    <t xml:space="preserve">Le creux du cumul des flux avant tout financement (fonds propres et crédit), intérêts compris</t>
  </si>
  <si>
    <t xml:space="preserve">Mois du point bas</t>
  </si>
  <si>
    <t xml:space="preserve">Repéré en rouge dans le plan mensuel</t>
  </si>
  <si>
    <t xml:space="preserve">Date du point bas</t>
  </si>
  <si>
    <t xml:space="preserve">Besoin de financement</t>
  </si>
  <si>
    <t xml:space="preserve">Ce que fonds propres et crédit doivent couvrir ensemble, trésorerie minimale comprise</t>
  </si>
  <si>
    <t xml:space="preserve">Encours maximal du crédit</t>
  </si>
  <si>
    <t xml:space="preserve">Le crédit réellement tiré au plus haut : à comparer au plafond</t>
  </si>
  <si>
    <t xml:space="preserve">Marge sous le plafond</t>
  </si>
  <si>
    <t xml:space="preserve">Ce qui reste disponible au point bas, en cas de retard de ventes ou de travaux</t>
  </si>
  <si>
    <t xml:space="preserve">Contrôle du plafond</t>
  </si>
  <si>
    <t xml:space="preserve">Mois d'utilisation du crédit</t>
  </si>
  <si>
    <t xml:space="preserve">Nombre de mois avec un encours</t>
  </si>
  <si>
    <t xml:space="preserve">Crédit entièrement remboursé au mois</t>
  </si>
  <si>
    <t xml:space="preserve">Le mois qui suit le dernier mois d'encours</t>
  </si>
  <si>
    <t xml:space="preserve">Frais financiers</t>
  </si>
  <si>
    <t xml:space="preserve">Calculés chaque mois sur l'encours réel, et non sur un encours moyen estimé</t>
  </si>
  <si>
    <t xml:space="preserve">Frais de dossier et commission de GFA</t>
  </si>
  <si>
    <t xml:space="preserve">Frais financiers totaux</t>
  </si>
  <si>
    <t xml:space="preserve">Marge de l'opération</t>
  </si>
  <si>
    <t xml:space="preserve">Coûts HT hors frais financiers</t>
  </si>
  <si>
    <t xml:space="preserve">Terrain et frais, taxes, travaux, honoraires, assurances, commercialisation, gestion</t>
  </si>
  <si>
    <t xml:space="preserve">Marge HT</t>
  </si>
  <si>
    <t xml:space="preserve">Marge en % du CA HT</t>
  </si>
  <si>
    <t xml:space="preserve">Contrôles</t>
  </si>
  <si>
    <t xml:space="preserve">Trésorerie finale moins fonds propres</t>
  </si>
  <si>
    <t xml:space="preserve">Doit retomber sur la marge HT quand tout est encaissé, payé et remboursé</t>
  </si>
  <si>
    <t xml:space="preserve">Concordance avec la marge</t>
  </si>
  <si>
    <t xml:space="preserve">TVA collectée moins TVA déductible et reversée</t>
  </si>
  <si>
    <t xml:space="preserve">Zéro quand toute la TVA nette est reversée dans l'horizon du plan</t>
  </si>
  <si>
    <t xml:space="preserve">Exemple fictif : les hypothèses ne décrivent aucun marché réel. Le plan suppose des paiements dans le mois, sans retenue de garantie ni décalage des appels de fonds ; le plan qui fait foi est celui validé avec la banque.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</si>
</sst>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"/>
    <numFmt numFmtId="166" formatCode="&quot;mois &quot;0"/>
    <numFmt numFmtId="167" formatCode="0&quot; mois&quot;"/>
    <numFmt numFmtId="168" formatCode="#,##0&quot; €&quot;;\-#,##0&quot; €&quot;;\–"/>
    <numFmt numFmtId="169" formatCode="0.0\ %"/>
    <numFmt numFmtId="170" formatCode="#,##0&quot; m²&quot;"/>
    <numFmt numFmtId="171" formatCode="#,##0&quot; €/m²&quot;"/>
    <numFmt numFmtId="172" formatCode="0\ %;\-0\ %;\–"/>
    <numFmt numFmtId="173" formatCode="mmm\ 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228"/>
      <name val="Calibri"/>
      <family val="0"/>
      <charset val="1"/>
    </font>
    <font>
      <i val="true"/>
      <sz val="10"/>
      <color rgb="FF55607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A1228"/>
      <name val="Calibri"/>
      <family val="0"/>
      <charset val="1"/>
    </font>
    <font>
      <sz val="11"/>
      <name val="Calibri"/>
      <family val="0"/>
      <charset val="1"/>
    </font>
    <font>
      <sz val="11"/>
      <color rgb="FF1F4FBF"/>
      <name val="Calibri"/>
      <family val="0"/>
      <charset val="1"/>
    </font>
    <font>
      <b val="true"/>
      <sz val="12"/>
      <color rgb="FF9C1C1C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1228"/>
        <bgColor rgb="FF000000"/>
      </patternFill>
    </fill>
    <fill>
      <patternFill patternType="solid">
        <fgColor rgb="FFE8EDF8"/>
        <bgColor rgb="FFD9E2F5"/>
      </patternFill>
    </fill>
    <fill>
      <patternFill patternType="solid">
        <fgColor rgb="FFFFF8DC"/>
        <bgColor rgb="FFFFFFFF"/>
      </patternFill>
    </fill>
    <fill>
      <patternFill patternType="solid">
        <fgColor rgb="FFD9E2F5"/>
        <bgColor rgb="FFE8EDF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0DE"/>
      </bottom>
      <diagonal/>
    </border>
    <border diagonalUp="false" diagonalDown="false">
      <left/>
      <right/>
      <top style="medium">
        <color rgb="FF0A122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5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9C1C1C"/>
      </font>
      <fill>
        <patternFill>
          <bgColor rgb="FFF8D7D3"/>
        </patternFill>
      </fill>
    </dxf>
    <dxf>
      <font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8EDF8"/>
      <rgbColor rgb="FF660066"/>
      <rgbColor rgb="FFFF8080"/>
      <rgbColor rgb="FF1F4FBF"/>
      <rgbColor rgb="FFC9D0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5"/>
      <rgbColor rgb="FFCCFFCC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56078"/>
      <rgbColor rgb="FF969696"/>
      <rgbColor rgb="FF003366"/>
      <rgbColor rgb="FF339966"/>
      <rgbColor rgb="FF0A1228"/>
      <rgbColor rgb="FF333300"/>
      <rgbColor rgb="FF9C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70"/>
    <col collapsed="false" customWidth="true" hidden="false" outlineLevel="0" max="5" min="4" style="0" width="16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/>
      <c r="C5" s="6"/>
    </row>
    <row r="6" customFormat="false" ht="15" hidden="false" customHeight="false" outlineLevel="0" collapsed="false">
      <c r="A6" s="7" t="s">
        <v>6</v>
      </c>
      <c r="B6" s="8" t="s">
        <v>7</v>
      </c>
      <c r="C6" s="9" t="s">
        <v>8</v>
      </c>
    </row>
    <row r="7" customFormat="false" ht="15" hidden="false" customHeight="false" outlineLevel="0" collapsed="false">
      <c r="A7" s="7" t="s">
        <v>9</v>
      </c>
      <c r="B7" s="10" t="n">
        <v>46023</v>
      </c>
      <c r="C7" s="9" t="s">
        <v>10</v>
      </c>
    </row>
    <row r="8" customFormat="false" ht="15" hidden="false" customHeight="false" outlineLevel="0" collapsed="false">
      <c r="A8" s="7" t="s">
        <v>11</v>
      </c>
      <c r="B8" s="11" t="n">
        <v>1</v>
      </c>
      <c r="C8" s="9" t="s">
        <v>12</v>
      </c>
    </row>
    <row r="9" customFormat="false" ht="15" hidden="false" customHeight="false" outlineLevel="0" collapsed="false">
      <c r="A9" s="7" t="s">
        <v>13</v>
      </c>
      <c r="B9" s="11" t="n">
        <v>4</v>
      </c>
      <c r="C9" s="9" t="s">
        <v>14</v>
      </c>
    </row>
    <row r="10" customFormat="false" ht="15" hidden="false" customHeight="false" outlineLevel="0" collapsed="false">
      <c r="A10" s="7" t="s">
        <v>15</v>
      </c>
      <c r="B10" s="12" t="n">
        <v>20</v>
      </c>
      <c r="C10" s="9" t="s">
        <v>16</v>
      </c>
    </row>
    <row r="11" customFormat="false" ht="15" hidden="false" customHeight="false" outlineLevel="0" collapsed="false">
      <c r="A11" s="7" t="s">
        <v>17</v>
      </c>
      <c r="B11" s="13" t="n">
        <f aca="false">MOIS_TRAVAUX+DUREE_CHANTIER-1</f>
        <v>23</v>
      </c>
      <c r="C11" s="9" t="s">
        <v>18</v>
      </c>
    </row>
    <row r="12" customFormat="false" ht="15" hidden="false" customHeight="false" outlineLevel="0" collapsed="false">
      <c r="A12" s="7" t="s">
        <v>19</v>
      </c>
      <c r="B12" s="12" t="n">
        <v>1</v>
      </c>
      <c r="C12" s="9" t="s">
        <v>20</v>
      </c>
    </row>
    <row r="13" customFormat="false" ht="15" hidden="false" customHeight="false" outlineLevel="0" collapsed="false">
      <c r="A13" s="7" t="s">
        <v>21</v>
      </c>
      <c r="B13" s="13" t="n">
        <f aca="false">MOIS_ACHEVEMENT+DELAI_LIVRAISON</f>
        <v>24</v>
      </c>
      <c r="C13" s="9" t="s">
        <v>18</v>
      </c>
    </row>
    <row r="14" customFormat="false" ht="15" hidden="false" customHeight="false" outlineLevel="0" collapsed="false">
      <c r="A14" s="5" t="s">
        <v>22</v>
      </c>
      <c r="B14" s="6"/>
      <c r="C14" s="6"/>
    </row>
    <row r="15" customFormat="false" ht="15" hidden="false" customHeight="false" outlineLevel="0" collapsed="false">
      <c r="A15" s="7" t="s">
        <v>23</v>
      </c>
      <c r="B15" s="14" t="n">
        <v>6815000</v>
      </c>
      <c r="C15" s="9" t="s">
        <v>24</v>
      </c>
    </row>
    <row r="16" customFormat="false" ht="15" hidden="false" customHeight="false" outlineLevel="0" collapsed="false">
      <c r="A16" s="7" t="s">
        <v>25</v>
      </c>
      <c r="B16" s="15" t="n">
        <v>0.2</v>
      </c>
      <c r="C16" s="9" t="s">
        <v>26</v>
      </c>
    </row>
    <row r="17" customFormat="false" ht="15" hidden="false" customHeight="false" outlineLevel="0" collapsed="false">
      <c r="A17" s="7" t="s">
        <v>27</v>
      </c>
      <c r="B17" s="16" t="n">
        <f aca="false">CA_TTC/(1+TVA)</f>
        <v>5679166.66666667</v>
      </c>
      <c r="C17" s="9" t="s">
        <v>18</v>
      </c>
    </row>
    <row r="18" customFormat="false" ht="15" hidden="false" customHeight="false" outlineLevel="0" collapsed="false">
      <c r="A18" s="5" t="s">
        <v>28</v>
      </c>
      <c r="B18" s="6"/>
      <c r="C18" s="6"/>
    </row>
    <row r="19" customFormat="false" ht="15" hidden="false" customHeight="false" outlineLevel="0" collapsed="false">
      <c r="A19" s="7" t="s">
        <v>29</v>
      </c>
      <c r="B19" s="11" t="n">
        <v>4</v>
      </c>
      <c r="C19" s="9" t="s">
        <v>30</v>
      </c>
    </row>
    <row r="20" customFormat="false" ht="15" hidden="false" customHeight="false" outlineLevel="0" collapsed="false">
      <c r="A20" s="7" t="s">
        <v>31</v>
      </c>
      <c r="B20" s="15" t="n">
        <v>0.4</v>
      </c>
      <c r="C20" s="9" t="s">
        <v>32</v>
      </c>
    </row>
    <row r="21" customFormat="false" ht="15" hidden="false" customHeight="false" outlineLevel="0" collapsed="false">
      <c r="A21" s="7" t="s">
        <v>33</v>
      </c>
      <c r="B21" s="12" t="n">
        <v>15</v>
      </c>
      <c r="C21" s="9" t="s">
        <v>34</v>
      </c>
    </row>
    <row r="22" customFormat="false" ht="15" hidden="false" customHeight="false" outlineLevel="0" collapsed="false">
      <c r="A22" s="5" t="s">
        <v>35</v>
      </c>
      <c r="B22" s="6"/>
      <c r="C22" s="6"/>
    </row>
    <row r="23" customFormat="false" ht="15" hidden="false" customHeight="false" outlineLevel="0" collapsed="false">
      <c r="A23" s="7" t="s">
        <v>36</v>
      </c>
      <c r="B23" s="15" t="n">
        <v>0.2</v>
      </c>
      <c r="C23" s="9" t="s">
        <v>37</v>
      </c>
    </row>
    <row r="24" customFormat="false" ht="15" hidden="false" customHeight="false" outlineLevel="0" collapsed="false">
      <c r="A24" s="5" t="s">
        <v>38</v>
      </c>
      <c r="B24" s="6"/>
      <c r="C24" s="6"/>
    </row>
    <row r="25" customFormat="false" ht="15" hidden="false" customHeight="false" outlineLevel="0" collapsed="false">
      <c r="A25" s="7" t="s">
        <v>39</v>
      </c>
      <c r="B25" s="14" t="n">
        <v>1450000</v>
      </c>
      <c r="C25" s="9" t="s">
        <v>40</v>
      </c>
    </row>
    <row r="26" customFormat="false" ht="15" hidden="false" customHeight="false" outlineLevel="0" collapsed="false">
      <c r="A26" s="7" t="s">
        <v>41</v>
      </c>
      <c r="B26" s="15" t="n">
        <v>0.03</v>
      </c>
      <c r="C26" s="9" t="s">
        <v>42</v>
      </c>
    </row>
    <row r="27" customFormat="false" ht="15" hidden="false" customHeight="false" outlineLevel="0" collapsed="false">
      <c r="A27" s="7" t="s">
        <v>43</v>
      </c>
      <c r="B27" s="14" t="n">
        <v>81000</v>
      </c>
      <c r="C27" s="9" t="s">
        <v>44</v>
      </c>
    </row>
    <row r="28" customFormat="false" ht="15" hidden="false" customHeight="false" outlineLevel="0" collapsed="false">
      <c r="A28" s="7" t="s">
        <v>45</v>
      </c>
      <c r="B28" s="13" t="n">
        <f aca="false">MOIS_ACHEVEMENT+3</f>
        <v>26</v>
      </c>
      <c r="C28" s="9" t="s">
        <v>46</v>
      </c>
    </row>
    <row r="29" customFormat="false" ht="15" hidden="false" customHeight="false" outlineLevel="0" collapsed="false">
      <c r="A29" s="5" t="s">
        <v>47</v>
      </c>
      <c r="B29" s="6"/>
      <c r="C29" s="6"/>
    </row>
    <row r="30" customFormat="false" ht="15" hidden="false" customHeight="false" outlineLevel="0" collapsed="false">
      <c r="A30" s="7" t="s">
        <v>48</v>
      </c>
      <c r="B30" s="17" t="n">
        <v>950</v>
      </c>
      <c r="C30" s="9" t="s">
        <v>49</v>
      </c>
    </row>
    <row r="31" customFormat="false" ht="15" hidden="false" customHeight="false" outlineLevel="0" collapsed="false">
      <c r="A31" s="7" t="s">
        <v>50</v>
      </c>
      <c r="B31" s="18" t="n">
        <v>2300</v>
      </c>
      <c r="C31" s="9" t="s">
        <v>51</v>
      </c>
    </row>
    <row r="32" customFormat="false" ht="15" hidden="false" customHeight="false" outlineLevel="0" collapsed="false">
      <c r="A32" s="7" t="s">
        <v>52</v>
      </c>
      <c r="B32" s="14" t="n">
        <v>120000</v>
      </c>
      <c r="C32" s="9" t="s">
        <v>53</v>
      </c>
    </row>
    <row r="33" customFormat="false" ht="15" hidden="false" customHeight="false" outlineLevel="0" collapsed="false">
      <c r="A33" s="7" t="s">
        <v>54</v>
      </c>
      <c r="B33" s="15" t="n">
        <v>0.04</v>
      </c>
      <c r="C33" s="9" t="s">
        <v>55</v>
      </c>
    </row>
    <row r="34" customFormat="false" ht="15" hidden="false" customHeight="false" outlineLevel="0" collapsed="false">
      <c r="A34" s="7" t="s">
        <v>56</v>
      </c>
      <c r="B34" s="16" t="n">
        <f aca="false">(SDP*COUT_M2+VRD)*(1+ALEAS)</f>
        <v>2397200</v>
      </c>
      <c r="C34" s="9" t="s">
        <v>57</v>
      </c>
    </row>
    <row r="35" customFormat="false" ht="15" hidden="false" customHeight="false" outlineLevel="0" collapsed="false">
      <c r="A35" s="5" t="s">
        <v>58</v>
      </c>
      <c r="B35" s="6"/>
      <c r="C35" s="6"/>
    </row>
    <row r="36" customFormat="false" ht="15" hidden="false" customHeight="false" outlineLevel="0" collapsed="false">
      <c r="A36" s="7" t="s">
        <v>59</v>
      </c>
      <c r="B36" s="15" t="n">
        <v>0.125</v>
      </c>
      <c r="C36" s="9" t="s">
        <v>60</v>
      </c>
    </row>
    <row r="37" customFormat="false" ht="15" hidden="false" customHeight="false" outlineLevel="0" collapsed="false">
      <c r="A37" s="7" t="s">
        <v>61</v>
      </c>
      <c r="B37" s="15" t="n">
        <v>0.3</v>
      </c>
      <c r="C37" s="9" t="s">
        <v>62</v>
      </c>
    </row>
    <row r="38" customFormat="false" ht="15" hidden="false" customHeight="false" outlineLevel="0" collapsed="false">
      <c r="A38" s="7" t="s">
        <v>63</v>
      </c>
      <c r="B38" s="15" t="n">
        <v>0.026</v>
      </c>
      <c r="C38" s="9" t="s">
        <v>64</v>
      </c>
    </row>
    <row r="39" customFormat="false" ht="15" hidden="false" customHeight="false" outlineLevel="0" collapsed="false">
      <c r="A39" s="5" t="s">
        <v>65</v>
      </c>
      <c r="B39" s="6"/>
      <c r="C39" s="6"/>
    </row>
    <row r="40" customFormat="false" ht="15" hidden="false" customHeight="false" outlineLevel="0" collapsed="false">
      <c r="A40" s="7" t="s">
        <v>66</v>
      </c>
      <c r="B40" s="15" t="n">
        <v>0.04</v>
      </c>
      <c r="C40" s="9" t="s">
        <v>67</v>
      </c>
    </row>
    <row r="41" customFormat="false" ht="15" hidden="false" customHeight="false" outlineLevel="0" collapsed="false">
      <c r="A41" s="7" t="s">
        <v>68</v>
      </c>
      <c r="B41" s="14" t="n">
        <v>45000</v>
      </c>
      <c r="C41" s="9" t="s">
        <v>69</v>
      </c>
    </row>
    <row r="42" customFormat="false" ht="15" hidden="false" customHeight="false" outlineLevel="0" collapsed="false">
      <c r="A42" s="7" t="s">
        <v>70</v>
      </c>
      <c r="B42" s="15" t="n">
        <v>0.04</v>
      </c>
      <c r="C42" s="9" t="s">
        <v>71</v>
      </c>
    </row>
    <row r="43" customFormat="false" ht="15" hidden="false" customHeight="false" outlineLevel="0" collapsed="false">
      <c r="A43" s="5" t="s">
        <v>72</v>
      </c>
      <c r="B43" s="6"/>
      <c r="C43" s="6"/>
    </row>
    <row r="44" customFormat="false" ht="15" hidden="false" customHeight="false" outlineLevel="0" collapsed="false">
      <c r="A44" s="7" t="s">
        <v>73</v>
      </c>
      <c r="B44" s="14" t="n">
        <v>650000</v>
      </c>
      <c r="C44" s="9" t="s">
        <v>74</v>
      </c>
    </row>
    <row r="45" customFormat="false" ht="15" hidden="false" customHeight="false" outlineLevel="0" collapsed="false">
      <c r="A45" s="7" t="s">
        <v>75</v>
      </c>
      <c r="B45" s="14" t="n">
        <v>2200000</v>
      </c>
      <c r="C45" s="9" t="s">
        <v>76</v>
      </c>
    </row>
    <row r="46" customFormat="false" ht="15" hidden="false" customHeight="false" outlineLevel="0" collapsed="false">
      <c r="A46" s="7" t="s">
        <v>77</v>
      </c>
      <c r="B46" s="15" t="n">
        <v>0.05</v>
      </c>
      <c r="C46" s="9" t="s">
        <v>78</v>
      </c>
    </row>
    <row r="47" customFormat="false" ht="15" hidden="false" customHeight="false" outlineLevel="0" collapsed="false">
      <c r="A47" s="7" t="s">
        <v>79</v>
      </c>
      <c r="B47" s="14" t="n">
        <v>12000</v>
      </c>
      <c r="C47" s="9" t="s">
        <v>80</v>
      </c>
    </row>
    <row r="48" customFormat="false" ht="15" hidden="false" customHeight="false" outlineLevel="0" collapsed="false">
      <c r="A48" s="7" t="s">
        <v>81</v>
      </c>
      <c r="B48" s="14" t="n">
        <v>3000000</v>
      </c>
      <c r="C48" s="9" t="s">
        <v>82</v>
      </c>
    </row>
    <row r="49" customFormat="false" ht="15" hidden="false" customHeight="false" outlineLevel="0" collapsed="false">
      <c r="A49" s="7" t="s">
        <v>83</v>
      </c>
      <c r="B49" s="15" t="n">
        <v>0.009</v>
      </c>
      <c r="C49" s="9" t="s">
        <v>84</v>
      </c>
    </row>
    <row r="50" customFormat="false" ht="15" hidden="false" customHeight="false" outlineLevel="0" collapsed="false">
      <c r="A50" s="7" t="s">
        <v>85</v>
      </c>
      <c r="B50" s="14" t="n">
        <v>50000</v>
      </c>
      <c r="C50" s="9" t="s">
        <v>86</v>
      </c>
    </row>
    <row r="52" customFormat="false" ht="15" hidden="false" customHeight="false" outlineLevel="0" collapsed="false">
      <c r="A52" s="19" t="s">
        <v>87</v>
      </c>
      <c r="B52" s="20"/>
      <c r="C52" s="20"/>
      <c r="D52" s="20"/>
      <c r="E52" s="20"/>
    </row>
    <row r="53" customFormat="false" ht="30" hidden="false" customHeight="true" outlineLevel="0" collapsed="false">
      <c r="A53" s="3" t="s">
        <v>88</v>
      </c>
      <c r="B53" s="4" t="s">
        <v>89</v>
      </c>
      <c r="C53" s="4" t="s">
        <v>90</v>
      </c>
      <c r="D53" s="4" t="s">
        <v>91</v>
      </c>
      <c r="E53" s="4" t="s">
        <v>92</v>
      </c>
    </row>
    <row r="54" customFormat="false" ht="15" hidden="false" customHeight="false" outlineLevel="0" collapsed="false">
      <c r="A54" s="7" t="s">
        <v>93</v>
      </c>
      <c r="B54" s="15" t="n">
        <v>0.2</v>
      </c>
      <c r="C54" s="21" t="n">
        <v>0.35</v>
      </c>
      <c r="D54" s="22" t="n">
        <v>0.35</v>
      </c>
      <c r="E54" s="22" t="n">
        <f aca="false">MIN(C54,D54)</f>
        <v>0.35</v>
      </c>
    </row>
    <row r="55" customFormat="false" ht="15" hidden="false" customHeight="false" outlineLevel="0" collapsed="false">
      <c r="A55" s="7" t="s">
        <v>94</v>
      </c>
      <c r="B55" s="15" t="n">
        <v>0.55</v>
      </c>
      <c r="C55" s="21" t="n">
        <v>0.7</v>
      </c>
      <c r="D55" s="22" t="n">
        <v>0.7</v>
      </c>
      <c r="E55" s="22" t="n">
        <f aca="false">MIN(C55,D55)</f>
        <v>0.7</v>
      </c>
    </row>
    <row r="56" customFormat="false" ht="15" hidden="false" customHeight="false" outlineLevel="0" collapsed="false">
      <c r="A56" s="7" t="s">
        <v>95</v>
      </c>
      <c r="B56" s="23" t="n">
        <v>1</v>
      </c>
      <c r="C56" s="21" t="n">
        <v>0.95</v>
      </c>
      <c r="D56" s="22" t="n">
        <v>0.95</v>
      </c>
      <c r="E56" s="22" t="n">
        <f aca="false">MIN(C56,D56)</f>
        <v>0.95</v>
      </c>
    </row>
    <row r="57" customFormat="false" ht="15" hidden="false" customHeight="false" outlineLevel="0" collapsed="false">
      <c r="A57" s="7" t="s">
        <v>96</v>
      </c>
      <c r="B57" s="24" t="s">
        <v>97</v>
      </c>
      <c r="C57" s="21" t="n">
        <v>1</v>
      </c>
      <c r="D57" s="22" t="n">
        <v>1</v>
      </c>
      <c r="E57" s="22" t="n">
        <f aca="false">MIN(C57,D57)</f>
        <v>1</v>
      </c>
    </row>
    <row r="59" customFormat="false" ht="15" hidden="false" customHeight="false" outlineLevel="0" collapsed="false">
      <c r="A59" s="2" t="s">
        <v>98</v>
      </c>
    </row>
    <row r="60" customFormat="false" ht="15" hidden="false" customHeight="false" outlineLevel="0" collapsed="false">
      <c r="A60" s="2" t="s">
        <v>99</v>
      </c>
    </row>
    <row r="61" customFormat="false" ht="15" hidden="false" customHeight="false" outlineLevel="0" collapsed="false">
      <c r="A61" s="2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5" min="4" style="0" width="10"/>
    <col collapsed="false" customWidth="true" hidden="false" outlineLevel="0" max="30" min="6" style="0" width="14"/>
  </cols>
  <sheetData>
    <row r="1" customFormat="false" ht="24" hidden="false" customHeight="true" outlineLevel="0" collapsed="false">
      <c r="A1" s="1" t="s">
        <v>101</v>
      </c>
    </row>
    <row r="2" customFormat="false" ht="15" hidden="false" customHeight="false" outlineLevel="0" collapsed="false">
      <c r="A2" s="2" t="s">
        <v>102</v>
      </c>
    </row>
    <row r="3" customFormat="false" ht="15" hidden="false" customHeight="false" outlineLevel="0" collapsed="false">
      <c r="A3" s="25" t="str">
        <f aca="false">"Point bas : "&amp;FIXED(Synthèse!B6,0)&amp;" € au mois "&amp;Synthèse!B7&amp;" ("&amp;TEXT(MONTH(Synthèse!B8),"00")&amp;"/"&amp;YEAR(Synthèse!B8)&amp;") · besoin de financement : "&amp;FIXED(Synthèse!B9,0)&amp;" € · encours maximal du crédit : "&amp;FIXED(Synthèse!B12,0)&amp;" €"</f>
        <v>Point bas : -2,366,306 € au mois 6 (06/2026) · besoin de financement : 2,416,306 € · encours maximal du crédit : 1,766,306 €</v>
      </c>
    </row>
    <row r="4" customFormat="false" ht="15" hidden="false" customHeight="false" outlineLevel="0" collapsed="false">
      <c r="A4" s="26" t="s">
        <v>103</v>
      </c>
      <c r="B4" s="26"/>
      <c r="C4" s="26"/>
      <c r="D4" s="26"/>
      <c r="E4" s="26"/>
      <c r="F4" s="26" t="s">
        <v>104</v>
      </c>
      <c r="G4" s="26"/>
      <c r="H4" s="26"/>
      <c r="I4" s="26" t="s">
        <v>105</v>
      </c>
      <c r="J4" s="26"/>
      <c r="K4" s="26"/>
      <c r="L4" s="26"/>
      <c r="M4" s="26"/>
      <c r="N4" s="26"/>
      <c r="O4" s="26"/>
      <c r="P4" s="26"/>
      <c r="Q4" s="26" t="s">
        <v>106</v>
      </c>
      <c r="R4" s="26"/>
      <c r="S4" s="26"/>
      <c r="T4" s="26"/>
      <c r="U4" s="26"/>
      <c r="V4" s="26" t="s">
        <v>107</v>
      </c>
      <c r="W4" s="26"/>
      <c r="X4" s="26"/>
      <c r="Y4" s="26"/>
      <c r="Z4" s="26"/>
      <c r="AA4" s="26"/>
      <c r="AB4" s="26"/>
      <c r="AC4" s="26"/>
      <c r="AD4" s="26"/>
    </row>
    <row r="5" customFormat="false" ht="45.75" hidden="false" customHeight="true" outlineLevel="0" collapsed="false">
      <c r="A5" s="3" t="s">
        <v>108</v>
      </c>
      <c r="B5" s="4" t="s">
        <v>109</v>
      </c>
      <c r="C5" s="4" t="s">
        <v>89</v>
      </c>
      <c r="D5" s="4" t="s">
        <v>110</v>
      </c>
      <c r="E5" s="4" t="s">
        <v>111</v>
      </c>
      <c r="F5" s="4" t="s">
        <v>112</v>
      </c>
      <c r="G5" s="4" t="s">
        <v>113</v>
      </c>
      <c r="H5" s="4" t="s">
        <v>114</v>
      </c>
      <c r="I5" s="4" t="s">
        <v>115</v>
      </c>
      <c r="J5" s="4" t="s">
        <v>116</v>
      </c>
      <c r="K5" s="4" t="s">
        <v>117</v>
      </c>
      <c r="L5" s="4" t="s">
        <v>118</v>
      </c>
      <c r="M5" s="4" t="s">
        <v>119</v>
      </c>
      <c r="N5" s="4" t="s">
        <v>120</v>
      </c>
      <c r="O5" s="4" t="s">
        <v>121</v>
      </c>
      <c r="P5" s="4" t="s">
        <v>122</v>
      </c>
      <c r="Q5" s="4" t="s">
        <v>123</v>
      </c>
      <c r="R5" s="4" t="s">
        <v>124</v>
      </c>
      <c r="S5" s="4" t="s">
        <v>125</v>
      </c>
      <c r="T5" s="4" t="s">
        <v>126</v>
      </c>
      <c r="U5" s="4" t="s">
        <v>127</v>
      </c>
      <c r="V5" s="4" t="s">
        <v>128</v>
      </c>
      <c r="W5" s="4" t="s">
        <v>129</v>
      </c>
      <c r="X5" s="4" t="s">
        <v>130</v>
      </c>
      <c r="Y5" s="4" t="s">
        <v>131</v>
      </c>
      <c r="Z5" s="4" t="s">
        <v>132</v>
      </c>
      <c r="AA5" s="4" t="s">
        <v>133</v>
      </c>
      <c r="AB5" s="4" t="s">
        <v>134</v>
      </c>
      <c r="AC5" s="4" t="s">
        <v>135</v>
      </c>
      <c r="AD5" s="4" t="s">
        <v>136</v>
      </c>
    </row>
    <row r="6" customFormat="false" ht="15" hidden="false" customHeight="false" outlineLevel="0" collapsed="false">
      <c r="A6" s="27" t="n">
        <v>1</v>
      </c>
      <c r="B6" s="28" t="n">
        <f aca="false">EDATE(DEBUT_PLAN,A6-1)</f>
        <v>46023</v>
      </c>
      <c r="C6" s="22" t="n">
        <f aca="false">MAX(0,MIN(1,(A6-MOIS_TRAVAUX+1)/DUREE_CHANTIER))</f>
        <v>0</v>
      </c>
      <c r="D6" s="22" t="n">
        <f aca="false">IF(A6&lt;MOIS_VENTES,0,MIN(1,PRECOMMERCIALISATION+(1-PRECOMMERCIALISATION)*IF(DUREE_VENTES&gt;0,(A6-MOIS_VENTES)/DUREE_VENTES,1)))</f>
        <v>0</v>
      </c>
      <c r="E6" s="22" t="n">
        <f aca="false">IF(A6&gt;=MOIS_LIVRAISON,APPEL_LIVRAISON,IF(C6&gt;=1,APPEL_ACHEVEMENT,IF(C6&gt;=SEUIL_HORS_EAU,APPEL_HORS_EAU,IF(C6&gt;=SEUIL_FONDATIONS,APPEL_FONDATIONS,0))))</f>
        <v>0</v>
      </c>
      <c r="F6" s="29" t="n">
        <f aca="false">ROUND(CA_TTC*D6*E6,2)</f>
        <v>0</v>
      </c>
      <c r="G6" s="29" t="n">
        <f aca="false">F6-0</f>
        <v>0</v>
      </c>
      <c r="H6" s="29" t="n">
        <f aca="false">IF(A6=1,FONDS_PROPRES,0)</f>
        <v>650000</v>
      </c>
      <c r="I6" s="29" t="n">
        <f aca="false">IF(A6=MOIS_TERRAIN,PRIX_TERRAIN*(1+FRAIS_ACQ),0)</f>
        <v>1493500</v>
      </c>
      <c r="J6" s="29" t="n">
        <f aca="false">IF(A6=MOIS_TAXES,TAXES_URBA,0)</f>
        <v>0</v>
      </c>
      <c r="K6" s="29" t="n">
        <f aca="false">IF(AND(A6&gt;=MOIS_TRAVAUX,A6&lt;=MOIS_ACHEVEMENT),TRAVAUX_HT/DUREE_CHANTIER,0)</f>
        <v>0</v>
      </c>
      <c r="L6" s="29" t="n">
        <f aca="false">(SDP*COUT_M2+VRD)*HONORAIRES*IF(MOIS_TRAVAUX&gt;1,IF(A6&lt;MOIS_TRAVAUX,HONO_AVANT/(MOIS_TRAVAUX-1),IF(A6&lt;=MOIS_ACHEVEMENT,(1-HONO_AVANT)/DUREE_CHANTIER,0)),IF(A6&lt;=MOIS_ACHEVEMENT,1/DUREE_CHANTIER,0))</f>
        <v>28812.5</v>
      </c>
      <c r="M6" s="29" t="n">
        <f aca="false">IF(A6=MOIS_TRAVAUX,(SDP*COUT_M2+VRD)*ASSURANCES,0)</f>
        <v>0</v>
      </c>
      <c r="N6" s="29" t="n">
        <f aca="false">CA_HT*COMMERCIALISATION*(D6-0)+IF(AND(A6&gt;=MOIS_VENTES,A6&lt;=MOIS_VENTES+DUREE_VENTES),PUBLICITE/(DUREE_VENTES+1),0)</f>
        <v>0</v>
      </c>
      <c r="O6" s="29" t="n">
        <f aca="false">IF(A6&lt;=MOIS_LIVRAISON,CA_HT*GESTION/MOIS_LIVRAISON,0)</f>
        <v>9465.27777777778</v>
      </c>
      <c r="P6" s="29" t="n">
        <f aca="false">IF(A6=MOIS_TERRAIN,FRAIS_DOSSIER,0)+IF(AND(A6&gt;=MOIS_TRAVAUX,A6&lt;=MOIS_ACHEVEMENT),GFA_MONTANT*GFA_TAUX/12,0)</f>
        <v>12000</v>
      </c>
      <c r="Q6" s="29" t="n">
        <f aca="false">(K6+L6+N6)*TVA_ACHATS</f>
        <v>5762.5</v>
      </c>
      <c r="R6" s="29" t="n">
        <f aca="false">G6*TVA/(1+TVA)</f>
        <v>0</v>
      </c>
      <c r="S6" s="29" t="n">
        <f aca="false">MAX(0,R6-Q6-0)</f>
        <v>0</v>
      </c>
      <c r="T6" s="29" t="n">
        <f aca="false">MAX(0,0+Q6-R6)</f>
        <v>5762.5</v>
      </c>
      <c r="U6" s="29" t="n">
        <f aca="false">0</f>
        <v>0</v>
      </c>
      <c r="V6" s="29" t="n">
        <f aca="false">SUM(I6:Q6)+U6</f>
        <v>1549540.27777778</v>
      </c>
      <c r="W6" s="29" t="n">
        <f aca="false">ROUND(0*TAUX_CREDIT/12,2)</f>
        <v>0</v>
      </c>
      <c r="X6" s="29" t="n">
        <f aca="false">G6-V6-W6</f>
        <v>-1549540.27777778</v>
      </c>
      <c r="Y6" s="29" t="n">
        <f aca="false">MAX(0,MIN(TRESO_MIN-(0+H6+X6),PLAFOND_CREDIT-0))</f>
        <v>949540.277777778</v>
      </c>
      <c r="Z6" s="29" t="n">
        <f aca="false">MIN(0,MAX(0,0+H6+X6-TRESO_MIN))</f>
        <v>0</v>
      </c>
      <c r="AA6" s="30" t="n">
        <f aca="false">0+Y6-Z6</f>
        <v>949540.277777778</v>
      </c>
      <c r="AB6" s="30" t="n">
        <f aca="false">0+H6+X6+Y6-Z6</f>
        <v>50000</v>
      </c>
      <c r="AC6" s="30" t="n">
        <f aca="false">0+X6</f>
        <v>-1549540.27777778</v>
      </c>
      <c r="AD6" s="31" t="str">
        <f aca="false">IF(AC6=MIN($AC$6:$AC$53),"◀ POINT BAS","")</f>
        <v/>
      </c>
    </row>
    <row r="7" customFormat="false" ht="15" hidden="false" customHeight="false" outlineLevel="0" collapsed="false">
      <c r="A7" s="27" t="n">
        <v>2</v>
      </c>
      <c r="B7" s="28" t="n">
        <f aca="false">EDATE(DEBUT_PLAN,A7-1)</f>
        <v>46054</v>
      </c>
      <c r="C7" s="22" t="n">
        <f aca="false">MAX(0,MIN(1,(A7-MOIS_TRAVAUX+1)/DUREE_CHANTIER))</f>
        <v>0</v>
      </c>
      <c r="D7" s="22" t="n">
        <f aca="false">IF(A7&lt;MOIS_VENTES,0,MIN(1,PRECOMMERCIALISATION+(1-PRECOMMERCIALISATION)*IF(DUREE_VENTES&gt;0,(A7-MOIS_VENTES)/DUREE_VENTES,1)))</f>
        <v>0</v>
      </c>
      <c r="E7" s="22" t="n">
        <f aca="false">IF(A7&gt;=MOIS_LIVRAISON,APPEL_LIVRAISON,IF(C7&gt;=1,APPEL_ACHEVEMENT,IF(C7&gt;=SEUIL_HORS_EAU,APPEL_HORS_EAU,IF(C7&gt;=SEUIL_FONDATIONS,APPEL_FONDATIONS,0))))</f>
        <v>0</v>
      </c>
      <c r="F7" s="29" t="n">
        <f aca="false">ROUND(CA_TTC*D7*E7,2)</f>
        <v>0</v>
      </c>
      <c r="G7" s="29" t="n">
        <f aca="false">F7-F6</f>
        <v>0</v>
      </c>
      <c r="H7" s="29" t="n">
        <f aca="false">IF(A7=1,FONDS_PROPRES,0)</f>
        <v>0</v>
      </c>
      <c r="I7" s="29" t="n">
        <f aca="false">IF(A7=MOIS_TERRAIN,PRIX_TERRAIN*(1+FRAIS_ACQ),0)</f>
        <v>0</v>
      </c>
      <c r="J7" s="29" t="n">
        <f aca="false">IF(A7=MOIS_TAXES,TAXES_URBA,0)</f>
        <v>0</v>
      </c>
      <c r="K7" s="29" t="n">
        <f aca="false">IF(AND(A7&gt;=MOIS_TRAVAUX,A7&lt;=MOIS_ACHEVEMENT),TRAVAUX_HT/DUREE_CHANTIER,0)</f>
        <v>0</v>
      </c>
      <c r="L7" s="29" t="n">
        <f aca="false">(SDP*COUT_M2+VRD)*HONORAIRES*IF(MOIS_TRAVAUX&gt;1,IF(A7&lt;MOIS_TRAVAUX,HONO_AVANT/(MOIS_TRAVAUX-1),IF(A7&lt;=MOIS_ACHEVEMENT,(1-HONO_AVANT)/DUREE_CHANTIER,0)),IF(A7&lt;=MOIS_ACHEVEMENT,1/DUREE_CHANTIER,0))</f>
        <v>28812.5</v>
      </c>
      <c r="M7" s="29" t="n">
        <f aca="false">IF(A7=MOIS_TRAVAUX,(SDP*COUT_M2+VRD)*ASSURANCES,0)</f>
        <v>0</v>
      </c>
      <c r="N7" s="29" t="n">
        <f aca="false">CA_HT*COMMERCIALISATION*(D7-D6)+IF(AND(A7&gt;=MOIS_VENTES,A7&lt;=MOIS_VENTES+DUREE_VENTES),PUBLICITE/(DUREE_VENTES+1),0)</f>
        <v>0</v>
      </c>
      <c r="O7" s="29" t="n">
        <f aca="false">IF(A7&lt;=MOIS_LIVRAISON,CA_HT*GESTION/MOIS_LIVRAISON,0)</f>
        <v>9465.27777777778</v>
      </c>
      <c r="P7" s="29" t="n">
        <f aca="false">IF(A7=MOIS_TERRAIN,FRAIS_DOSSIER,0)+IF(AND(A7&gt;=MOIS_TRAVAUX,A7&lt;=MOIS_ACHEVEMENT),GFA_MONTANT*GFA_TAUX/12,0)</f>
        <v>0</v>
      </c>
      <c r="Q7" s="29" t="n">
        <f aca="false">(K7+L7+N7)*TVA_ACHATS</f>
        <v>5762.5</v>
      </c>
      <c r="R7" s="29" t="n">
        <f aca="false">G7*TVA/(1+TVA)</f>
        <v>0</v>
      </c>
      <c r="S7" s="29" t="n">
        <f aca="false">MAX(0,R7-Q7-T6)</f>
        <v>0</v>
      </c>
      <c r="T7" s="29" t="n">
        <f aca="false">MAX(0,T6+Q7-R7)</f>
        <v>11525</v>
      </c>
      <c r="U7" s="29" t="n">
        <f aca="false">S6</f>
        <v>0</v>
      </c>
      <c r="V7" s="29" t="n">
        <f aca="false">SUM(I7:Q7)+U7</f>
        <v>44040.2777777778</v>
      </c>
      <c r="W7" s="29" t="n">
        <f aca="false">ROUND(AA6*TAUX_CREDIT/12,2)</f>
        <v>3956.42</v>
      </c>
      <c r="X7" s="29" t="n">
        <f aca="false">G7-V7-W7</f>
        <v>-47996.6977777778</v>
      </c>
      <c r="Y7" s="29" t="n">
        <f aca="false">MAX(0,MIN(TRESO_MIN-(AB6+H7+X7),PLAFOND_CREDIT-AA6))</f>
        <v>47996.6977777778</v>
      </c>
      <c r="Z7" s="29" t="n">
        <f aca="false">MIN(AA6,MAX(0,AB6+H7+X7-TRESO_MIN))</f>
        <v>0</v>
      </c>
      <c r="AA7" s="30" t="n">
        <f aca="false">AA6+Y7-Z7</f>
        <v>997536.975555556</v>
      </c>
      <c r="AB7" s="30" t="n">
        <f aca="false">AB6+H7+X7+Y7-Z7</f>
        <v>50000</v>
      </c>
      <c r="AC7" s="30" t="n">
        <f aca="false">AC6+X7</f>
        <v>-1597536.97555556</v>
      </c>
      <c r="AD7" s="31" t="str">
        <f aca="false">IF(AC7=MIN($AC$6:$AC$53),"◀ POINT BAS","")</f>
        <v/>
      </c>
    </row>
    <row r="8" customFormat="false" ht="15" hidden="false" customHeight="false" outlineLevel="0" collapsed="false">
      <c r="A8" s="27" t="n">
        <v>3</v>
      </c>
      <c r="B8" s="28" t="n">
        <f aca="false">EDATE(DEBUT_PLAN,A8-1)</f>
        <v>46082</v>
      </c>
      <c r="C8" s="22" t="n">
        <f aca="false">MAX(0,MIN(1,(A8-MOIS_TRAVAUX+1)/DUREE_CHANTIER))</f>
        <v>0</v>
      </c>
      <c r="D8" s="22" t="n">
        <f aca="false">IF(A8&lt;MOIS_VENTES,0,MIN(1,PRECOMMERCIALISATION+(1-PRECOMMERCIALISATION)*IF(DUREE_VENTES&gt;0,(A8-MOIS_VENTES)/DUREE_VENTES,1)))</f>
        <v>0</v>
      </c>
      <c r="E8" s="22" t="n">
        <f aca="false">IF(A8&gt;=MOIS_LIVRAISON,APPEL_LIVRAISON,IF(C8&gt;=1,APPEL_ACHEVEMENT,IF(C8&gt;=SEUIL_HORS_EAU,APPEL_HORS_EAU,IF(C8&gt;=SEUIL_FONDATIONS,APPEL_FONDATIONS,0))))</f>
        <v>0</v>
      </c>
      <c r="F8" s="29" t="n">
        <f aca="false">ROUND(CA_TTC*D8*E8,2)</f>
        <v>0</v>
      </c>
      <c r="G8" s="29" t="n">
        <f aca="false">F8-F7</f>
        <v>0</v>
      </c>
      <c r="H8" s="29" t="n">
        <f aca="false">IF(A8=1,FONDS_PROPRES,0)</f>
        <v>0</v>
      </c>
      <c r="I8" s="29" t="n">
        <f aca="false">IF(A8=MOIS_TERRAIN,PRIX_TERRAIN*(1+FRAIS_ACQ),0)</f>
        <v>0</v>
      </c>
      <c r="J8" s="29" t="n">
        <f aca="false">IF(A8=MOIS_TAXES,TAXES_URBA,0)</f>
        <v>0</v>
      </c>
      <c r="K8" s="29" t="n">
        <f aca="false">IF(AND(A8&gt;=MOIS_TRAVAUX,A8&lt;=MOIS_ACHEVEMENT),TRAVAUX_HT/DUREE_CHANTIER,0)</f>
        <v>0</v>
      </c>
      <c r="L8" s="29" t="n">
        <f aca="false">(SDP*COUT_M2+VRD)*HONORAIRES*IF(MOIS_TRAVAUX&gt;1,IF(A8&lt;MOIS_TRAVAUX,HONO_AVANT/(MOIS_TRAVAUX-1),IF(A8&lt;=MOIS_ACHEVEMENT,(1-HONO_AVANT)/DUREE_CHANTIER,0)),IF(A8&lt;=MOIS_ACHEVEMENT,1/DUREE_CHANTIER,0))</f>
        <v>28812.5</v>
      </c>
      <c r="M8" s="29" t="n">
        <f aca="false">IF(A8=MOIS_TRAVAUX,(SDP*COUT_M2+VRD)*ASSURANCES,0)</f>
        <v>0</v>
      </c>
      <c r="N8" s="29" t="n">
        <f aca="false">CA_HT*COMMERCIALISATION*(D8-D7)+IF(AND(A8&gt;=MOIS_VENTES,A8&lt;=MOIS_VENTES+DUREE_VENTES),PUBLICITE/(DUREE_VENTES+1),0)</f>
        <v>0</v>
      </c>
      <c r="O8" s="29" t="n">
        <f aca="false">IF(A8&lt;=MOIS_LIVRAISON,CA_HT*GESTION/MOIS_LIVRAISON,0)</f>
        <v>9465.27777777778</v>
      </c>
      <c r="P8" s="29" t="n">
        <f aca="false">IF(A8=MOIS_TERRAIN,FRAIS_DOSSIER,0)+IF(AND(A8&gt;=MOIS_TRAVAUX,A8&lt;=MOIS_ACHEVEMENT),GFA_MONTANT*GFA_TAUX/12,0)</f>
        <v>0</v>
      </c>
      <c r="Q8" s="29" t="n">
        <f aca="false">(K8+L8+N8)*TVA_ACHATS</f>
        <v>5762.5</v>
      </c>
      <c r="R8" s="29" t="n">
        <f aca="false">G8*TVA/(1+TVA)</f>
        <v>0</v>
      </c>
      <c r="S8" s="29" t="n">
        <f aca="false">MAX(0,R8-Q8-T7)</f>
        <v>0</v>
      </c>
      <c r="T8" s="29" t="n">
        <f aca="false">MAX(0,T7+Q8-R8)</f>
        <v>17287.5</v>
      </c>
      <c r="U8" s="29" t="n">
        <f aca="false">S7</f>
        <v>0</v>
      </c>
      <c r="V8" s="29" t="n">
        <f aca="false">SUM(I8:Q8)+U8</f>
        <v>44040.2777777778</v>
      </c>
      <c r="W8" s="29" t="n">
        <f aca="false">ROUND(AA7*TAUX_CREDIT/12,2)</f>
        <v>4156.4</v>
      </c>
      <c r="X8" s="29" t="n">
        <f aca="false">G8-V8-W8</f>
        <v>-48196.6777777778</v>
      </c>
      <c r="Y8" s="29" t="n">
        <f aca="false">MAX(0,MIN(TRESO_MIN-(AB7+H8+X8),PLAFOND_CREDIT-AA7))</f>
        <v>48196.6777777778</v>
      </c>
      <c r="Z8" s="29" t="n">
        <f aca="false">MIN(AA7,MAX(0,AB7+H8+X8-TRESO_MIN))</f>
        <v>0</v>
      </c>
      <c r="AA8" s="30" t="n">
        <f aca="false">AA7+Y8-Z8</f>
        <v>1045733.65333333</v>
      </c>
      <c r="AB8" s="30" t="n">
        <f aca="false">AB7+H8+X8+Y8-Z8</f>
        <v>50000</v>
      </c>
      <c r="AC8" s="30" t="n">
        <f aca="false">AC7+X8</f>
        <v>-1645733.65333333</v>
      </c>
      <c r="AD8" s="31" t="str">
        <f aca="false">IF(AC8=MIN($AC$6:$AC$53),"◀ POINT BAS","")</f>
        <v/>
      </c>
    </row>
    <row r="9" customFormat="false" ht="15" hidden="false" customHeight="false" outlineLevel="0" collapsed="false">
      <c r="A9" s="27" t="n">
        <v>4</v>
      </c>
      <c r="B9" s="28" t="n">
        <f aca="false">EDATE(DEBUT_PLAN,A9-1)</f>
        <v>46113</v>
      </c>
      <c r="C9" s="22" t="n">
        <f aca="false">MAX(0,MIN(1,(A9-MOIS_TRAVAUX+1)/DUREE_CHANTIER))</f>
        <v>0.05</v>
      </c>
      <c r="D9" s="22" t="n">
        <f aca="false">IF(A9&lt;MOIS_VENTES,0,MIN(1,PRECOMMERCIALISATION+(1-PRECOMMERCIALISATION)*IF(DUREE_VENTES&gt;0,(A9-MOIS_VENTES)/DUREE_VENTES,1)))</f>
        <v>0.4</v>
      </c>
      <c r="E9" s="22" t="n">
        <f aca="false">IF(A9&gt;=MOIS_LIVRAISON,APPEL_LIVRAISON,IF(C9&gt;=1,APPEL_ACHEVEMENT,IF(C9&gt;=SEUIL_HORS_EAU,APPEL_HORS_EAU,IF(C9&gt;=SEUIL_FONDATIONS,APPEL_FONDATIONS,0))))</f>
        <v>0</v>
      </c>
      <c r="F9" s="29" t="n">
        <f aca="false">ROUND(CA_TTC*D9*E9,2)</f>
        <v>0</v>
      </c>
      <c r="G9" s="29" t="n">
        <f aca="false">F9-F8</f>
        <v>0</v>
      </c>
      <c r="H9" s="29" t="n">
        <f aca="false">IF(A9=1,FONDS_PROPRES,0)</f>
        <v>0</v>
      </c>
      <c r="I9" s="29" t="n">
        <f aca="false">IF(A9=MOIS_TERRAIN,PRIX_TERRAIN*(1+FRAIS_ACQ),0)</f>
        <v>0</v>
      </c>
      <c r="J9" s="29" t="n">
        <f aca="false">IF(A9=MOIS_TAXES,TAXES_URBA,0)</f>
        <v>0</v>
      </c>
      <c r="K9" s="29" t="n">
        <f aca="false">IF(AND(A9&gt;=MOIS_TRAVAUX,A9&lt;=MOIS_ACHEVEMENT),TRAVAUX_HT/DUREE_CHANTIER,0)</f>
        <v>119860</v>
      </c>
      <c r="L9" s="29" t="n">
        <f aca="false">(SDP*COUT_M2+VRD)*HONORAIRES*IF(MOIS_TRAVAUX&gt;1,IF(A9&lt;MOIS_TRAVAUX,HONO_AVANT/(MOIS_TRAVAUX-1),IF(A9&lt;=MOIS_ACHEVEMENT,(1-HONO_AVANT)/DUREE_CHANTIER,0)),IF(A9&lt;=MOIS_ACHEVEMENT,1/DUREE_CHANTIER,0))</f>
        <v>10084.375</v>
      </c>
      <c r="M9" s="29" t="n">
        <f aca="false">IF(A9=MOIS_TRAVAUX,(SDP*COUT_M2+VRD)*ASSURANCES,0)</f>
        <v>59930</v>
      </c>
      <c r="N9" s="29" t="n">
        <f aca="false">CA_HT*COMMERCIALISATION*(D9-D8)+IF(AND(A9&gt;=MOIS_VENTES,A9&lt;=MOIS_VENTES+DUREE_VENTES),PUBLICITE/(DUREE_VENTES+1),0)</f>
        <v>93679.1666666667</v>
      </c>
      <c r="O9" s="29" t="n">
        <f aca="false">IF(A9&lt;=MOIS_LIVRAISON,CA_HT*GESTION/MOIS_LIVRAISON,0)</f>
        <v>9465.27777777778</v>
      </c>
      <c r="P9" s="29" t="n">
        <f aca="false">IF(A9=MOIS_TERRAIN,FRAIS_DOSSIER,0)+IF(AND(A9&gt;=MOIS_TRAVAUX,A9&lt;=MOIS_ACHEVEMENT),GFA_MONTANT*GFA_TAUX/12,0)</f>
        <v>2250</v>
      </c>
      <c r="Q9" s="29" t="n">
        <f aca="false">(K9+L9+N9)*TVA_ACHATS</f>
        <v>44724.7083333333</v>
      </c>
      <c r="R9" s="29" t="n">
        <f aca="false">G9*TVA/(1+TVA)</f>
        <v>0</v>
      </c>
      <c r="S9" s="29" t="n">
        <f aca="false">MAX(0,R9-Q9-T8)</f>
        <v>0</v>
      </c>
      <c r="T9" s="29" t="n">
        <f aca="false">MAX(0,T8+Q9-R9)</f>
        <v>62012.2083333333</v>
      </c>
      <c r="U9" s="29" t="n">
        <f aca="false">S8</f>
        <v>0</v>
      </c>
      <c r="V9" s="29" t="n">
        <f aca="false">SUM(I9:Q9)+U9</f>
        <v>339993.527777778</v>
      </c>
      <c r="W9" s="29" t="n">
        <f aca="false">ROUND(AA8*TAUX_CREDIT/12,2)</f>
        <v>4357.22</v>
      </c>
      <c r="X9" s="29" t="n">
        <f aca="false">G9-V9-W9</f>
        <v>-344350.747777778</v>
      </c>
      <c r="Y9" s="29" t="n">
        <f aca="false">MAX(0,MIN(TRESO_MIN-(AB8+H9+X9),PLAFOND_CREDIT-AA8))</f>
        <v>344350.747777778</v>
      </c>
      <c r="Z9" s="29" t="n">
        <f aca="false">MIN(AA8,MAX(0,AB8+H9+X9-TRESO_MIN))</f>
        <v>0</v>
      </c>
      <c r="AA9" s="30" t="n">
        <f aca="false">AA8+Y9-Z9</f>
        <v>1390084.40111111</v>
      </c>
      <c r="AB9" s="30" t="n">
        <f aca="false">AB8+H9+X9+Y9-Z9</f>
        <v>50000</v>
      </c>
      <c r="AC9" s="30" t="n">
        <f aca="false">AC8+X9</f>
        <v>-1990084.40111111</v>
      </c>
      <c r="AD9" s="31" t="str">
        <f aca="false">IF(AC9=MIN($AC$6:$AC$53),"◀ POINT BAS","")</f>
        <v/>
      </c>
    </row>
    <row r="10" customFormat="false" ht="15" hidden="false" customHeight="false" outlineLevel="0" collapsed="false">
      <c r="A10" s="27" t="n">
        <v>5</v>
      </c>
      <c r="B10" s="28" t="n">
        <f aca="false">EDATE(DEBUT_PLAN,A10-1)</f>
        <v>46143</v>
      </c>
      <c r="C10" s="22" t="n">
        <f aca="false">MAX(0,MIN(1,(A10-MOIS_TRAVAUX+1)/DUREE_CHANTIER))</f>
        <v>0.1</v>
      </c>
      <c r="D10" s="22" t="n">
        <f aca="false">IF(A10&lt;MOIS_VENTES,0,MIN(1,PRECOMMERCIALISATION+(1-PRECOMMERCIALISATION)*IF(DUREE_VENTES&gt;0,(A10-MOIS_VENTES)/DUREE_VENTES,1)))</f>
        <v>0.44</v>
      </c>
      <c r="E10" s="22" t="n">
        <f aca="false">IF(A10&gt;=MOIS_LIVRAISON,APPEL_LIVRAISON,IF(C10&gt;=1,APPEL_ACHEVEMENT,IF(C10&gt;=SEUIL_HORS_EAU,APPEL_HORS_EAU,IF(C10&gt;=SEUIL_FONDATIONS,APPEL_FONDATIONS,0))))</f>
        <v>0</v>
      </c>
      <c r="F10" s="29" t="n">
        <f aca="false">ROUND(CA_TTC*D10*E10,2)</f>
        <v>0</v>
      </c>
      <c r="G10" s="29" t="n">
        <f aca="false">F10-F9</f>
        <v>0</v>
      </c>
      <c r="H10" s="29" t="n">
        <f aca="false">IF(A10=1,FONDS_PROPRES,0)</f>
        <v>0</v>
      </c>
      <c r="I10" s="29" t="n">
        <f aca="false">IF(A10=MOIS_TERRAIN,PRIX_TERRAIN*(1+FRAIS_ACQ),0)</f>
        <v>0</v>
      </c>
      <c r="J10" s="29" t="n">
        <f aca="false">IF(A10=MOIS_TAXES,TAXES_URBA,0)</f>
        <v>0</v>
      </c>
      <c r="K10" s="29" t="n">
        <f aca="false">IF(AND(A10&gt;=MOIS_TRAVAUX,A10&lt;=MOIS_ACHEVEMENT),TRAVAUX_HT/DUREE_CHANTIER,0)</f>
        <v>119860</v>
      </c>
      <c r="L10" s="29" t="n">
        <f aca="false">(SDP*COUT_M2+VRD)*HONORAIRES*IF(MOIS_TRAVAUX&gt;1,IF(A10&lt;MOIS_TRAVAUX,HONO_AVANT/(MOIS_TRAVAUX-1),IF(A10&lt;=MOIS_ACHEVEMENT,(1-HONO_AVANT)/DUREE_CHANTIER,0)),IF(A10&lt;=MOIS_ACHEVEMENT,1/DUREE_CHANTIER,0))</f>
        <v>10084.375</v>
      </c>
      <c r="M10" s="29" t="n">
        <f aca="false">IF(A10=MOIS_TRAVAUX,(SDP*COUT_M2+VRD)*ASSURANCES,0)</f>
        <v>0</v>
      </c>
      <c r="N10" s="29" t="n">
        <f aca="false">CA_HT*COMMERCIALISATION*(D10-D9)+IF(AND(A10&gt;=MOIS_VENTES,A10&lt;=MOIS_VENTES+DUREE_VENTES),PUBLICITE/(DUREE_VENTES+1),0)</f>
        <v>11899.1666666667</v>
      </c>
      <c r="O10" s="29" t="n">
        <f aca="false">IF(A10&lt;=MOIS_LIVRAISON,CA_HT*GESTION/MOIS_LIVRAISON,0)</f>
        <v>9465.27777777778</v>
      </c>
      <c r="P10" s="29" t="n">
        <f aca="false">IF(A10=MOIS_TERRAIN,FRAIS_DOSSIER,0)+IF(AND(A10&gt;=MOIS_TRAVAUX,A10&lt;=MOIS_ACHEVEMENT),GFA_MONTANT*GFA_TAUX/12,0)</f>
        <v>2250</v>
      </c>
      <c r="Q10" s="29" t="n">
        <f aca="false">(K10+L10+N10)*TVA_ACHATS</f>
        <v>28368.7083333333</v>
      </c>
      <c r="R10" s="29" t="n">
        <f aca="false">G10*TVA/(1+TVA)</f>
        <v>0</v>
      </c>
      <c r="S10" s="29" t="n">
        <f aca="false">MAX(0,R10-Q10-T9)</f>
        <v>0</v>
      </c>
      <c r="T10" s="29" t="n">
        <f aca="false">MAX(0,T9+Q10-R10)</f>
        <v>90380.9166666667</v>
      </c>
      <c r="U10" s="29" t="n">
        <f aca="false">S9</f>
        <v>0</v>
      </c>
      <c r="V10" s="29" t="n">
        <f aca="false">SUM(I10:Q10)+U10</f>
        <v>181927.527777778</v>
      </c>
      <c r="W10" s="29" t="n">
        <f aca="false">ROUND(AA9*TAUX_CREDIT/12,2)</f>
        <v>5792.02</v>
      </c>
      <c r="X10" s="29" t="n">
        <f aca="false">G10-V10-W10</f>
        <v>-187719.547777778</v>
      </c>
      <c r="Y10" s="29" t="n">
        <f aca="false">MAX(0,MIN(TRESO_MIN-(AB9+H10+X10),PLAFOND_CREDIT-AA9))</f>
        <v>187719.547777778</v>
      </c>
      <c r="Z10" s="29" t="n">
        <f aca="false">MIN(AA9,MAX(0,AB9+H10+X10-TRESO_MIN))</f>
        <v>0</v>
      </c>
      <c r="AA10" s="30" t="n">
        <f aca="false">AA9+Y10-Z10</f>
        <v>1577803.94888889</v>
      </c>
      <c r="AB10" s="30" t="n">
        <f aca="false">AB9+H10+X10+Y10-Z10</f>
        <v>50000</v>
      </c>
      <c r="AC10" s="30" t="n">
        <f aca="false">AC9+X10</f>
        <v>-2177803.94888889</v>
      </c>
      <c r="AD10" s="31" t="str">
        <f aca="false">IF(AC10=MIN($AC$6:$AC$53),"◀ POINT BAS","")</f>
        <v/>
      </c>
    </row>
    <row r="11" customFormat="false" ht="15" hidden="false" customHeight="false" outlineLevel="0" collapsed="false">
      <c r="A11" s="27" t="n">
        <v>6</v>
      </c>
      <c r="B11" s="28" t="n">
        <f aca="false">EDATE(DEBUT_PLAN,A11-1)</f>
        <v>46174</v>
      </c>
      <c r="C11" s="22" t="n">
        <f aca="false">MAX(0,MIN(1,(A11-MOIS_TRAVAUX+1)/DUREE_CHANTIER))</f>
        <v>0.15</v>
      </c>
      <c r="D11" s="22" t="n">
        <f aca="false">IF(A11&lt;MOIS_VENTES,0,MIN(1,PRECOMMERCIALISATION+(1-PRECOMMERCIALISATION)*IF(DUREE_VENTES&gt;0,(A11-MOIS_VENTES)/DUREE_VENTES,1)))</f>
        <v>0.48</v>
      </c>
      <c r="E11" s="22" t="n">
        <f aca="false">IF(A11&gt;=MOIS_LIVRAISON,APPEL_LIVRAISON,IF(C11&gt;=1,APPEL_ACHEVEMENT,IF(C11&gt;=SEUIL_HORS_EAU,APPEL_HORS_EAU,IF(C11&gt;=SEUIL_FONDATIONS,APPEL_FONDATIONS,0))))</f>
        <v>0</v>
      </c>
      <c r="F11" s="29" t="n">
        <f aca="false">ROUND(CA_TTC*D11*E11,2)</f>
        <v>0</v>
      </c>
      <c r="G11" s="29" t="n">
        <f aca="false">F11-F10</f>
        <v>0</v>
      </c>
      <c r="H11" s="29" t="n">
        <f aca="false">IF(A11=1,FONDS_PROPRES,0)</f>
        <v>0</v>
      </c>
      <c r="I11" s="29" t="n">
        <f aca="false">IF(A11=MOIS_TERRAIN,PRIX_TERRAIN*(1+FRAIS_ACQ),0)</f>
        <v>0</v>
      </c>
      <c r="J11" s="29" t="n">
        <f aca="false">IF(A11=MOIS_TAXES,TAXES_URBA,0)</f>
        <v>0</v>
      </c>
      <c r="K11" s="29" t="n">
        <f aca="false">IF(AND(A11&gt;=MOIS_TRAVAUX,A11&lt;=MOIS_ACHEVEMENT),TRAVAUX_HT/DUREE_CHANTIER,0)</f>
        <v>119860</v>
      </c>
      <c r="L11" s="29" t="n">
        <f aca="false">(SDP*COUT_M2+VRD)*HONORAIRES*IF(MOIS_TRAVAUX&gt;1,IF(A11&lt;MOIS_TRAVAUX,HONO_AVANT/(MOIS_TRAVAUX-1),IF(A11&lt;=MOIS_ACHEVEMENT,(1-HONO_AVANT)/DUREE_CHANTIER,0)),IF(A11&lt;=MOIS_ACHEVEMENT,1/DUREE_CHANTIER,0))</f>
        <v>10084.375</v>
      </c>
      <c r="M11" s="29" t="n">
        <f aca="false">IF(A11=MOIS_TRAVAUX,(SDP*COUT_M2+VRD)*ASSURANCES,0)</f>
        <v>0</v>
      </c>
      <c r="N11" s="29" t="n">
        <f aca="false">CA_HT*COMMERCIALISATION*(D11-D10)+IF(AND(A11&gt;=MOIS_VENTES,A11&lt;=MOIS_VENTES+DUREE_VENTES),PUBLICITE/(DUREE_VENTES+1),0)</f>
        <v>11899.1666666667</v>
      </c>
      <c r="O11" s="29" t="n">
        <f aca="false">IF(A11&lt;=MOIS_LIVRAISON,CA_HT*GESTION/MOIS_LIVRAISON,0)</f>
        <v>9465.27777777778</v>
      </c>
      <c r="P11" s="29" t="n">
        <f aca="false">IF(A11=MOIS_TERRAIN,FRAIS_DOSSIER,0)+IF(AND(A11&gt;=MOIS_TRAVAUX,A11&lt;=MOIS_ACHEVEMENT),GFA_MONTANT*GFA_TAUX/12,0)</f>
        <v>2250</v>
      </c>
      <c r="Q11" s="29" t="n">
        <f aca="false">(K11+L11+N11)*TVA_ACHATS</f>
        <v>28368.7083333333</v>
      </c>
      <c r="R11" s="29" t="n">
        <f aca="false">G11*TVA/(1+TVA)</f>
        <v>0</v>
      </c>
      <c r="S11" s="29" t="n">
        <f aca="false">MAX(0,R11-Q11-T10)</f>
        <v>0</v>
      </c>
      <c r="T11" s="29" t="n">
        <f aca="false">MAX(0,T10+Q11-R11)</f>
        <v>118749.625</v>
      </c>
      <c r="U11" s="29" t="n">
        <f aca="false">S10</f>
        <v>0</v>
      </c>
      <c r="V11" s="29" t="n">
        <f aca="false">SUM(I11:Q11)+U11</f>
        <v>181927.527777778</v>
      </c>
      <c r="W11" s="29" t="n">
        <f aca="false">ROUND(AA10*TAUX_CREDIT/12,2)</f>
        <v>6574.18</v>
      </c>
      <c r="X11" s="29" t="n">
        <f aca="false">G11-V11-W11</f>
        <v>-188501.707777778</v>
      </c>
      <c r="Y11" s="29" t="n">
        <f aca="false">MAX(0,MIN(TRESO_MIN-(AB10+H11+X11),PLAFOND_CREDIT-AA10))</f>
        <v>188501.707777778</v>
      </c>
      <c r="Z11" s="29" t="n">
        <f aca="false">MIN(AA10,MAX(0,AB10+H11+X11-TRESO_MIN))</f>
        <v>0</v>
      </c>
      <c r="AA11" s="30" t="n">
        <f aca="false">AA10+Y11-Z11</f>
        <v>1766305.65666667</v>
      </c>
      <c r="AB11" s="30" t="n">
        <f aca="false">AB10+H11+X11+Y11-Z11</f>
        <v>50000</v>
      </c>
      <c r="AC11" s="30" t="n">
        <f aca="false">AC10+X11</f>
        <v>-2366305.65666667</v>
      </c>
      <c r="AD11" s="31" t="str">
        <f aca="false">IF(AC11=MIN($AC$6:$AC$53),"◀ POINT BAS","")</f>
        <v>◀ POINT BAS</v>
      </c>
    </row>
    <row r="12" customFormat="false" ht="15" hidden="false" customHeight="false" outlineLevel="0" collapsed="false">
      <c r="A12" s="27" t="n">
        <v>7</v>
      </c>
      <c r="B12" s="28" t="n">
        <f aca="false">EDATE(DEBUT_PLAN,A12-1)</f>
        <v>46204</v>
      </c>
      <c r="C12" s="22" t="n">
        <f aca="false">MAX(0,MIN(1,(A12-MOIS_TRAVAUX+1)/DUREE_CHANTIER))</f>
        <v>0.2</v>
      </c>
      <c r="D12" s="22" t="n">
        <f aca="false">IF(A12&lt;MOIS_VENTES,0,MIN(1,PRECOMMERCIALISATION+(1-PRECOMMERCIALISATION)*IF(DUREE_VENTES&gt;0,(A12-MOIS_VENTES)/DUREE_VENTES,1)))</f>
        <v>0.52</v>
      </c>
      <c r="E12" s="22" t="n">
        <f aca="false">IF(A12&gt;=MOIS_LIVRAISON,APPEL_LIVRAISON,IF(C12&gt;=1,APPEL_ACHEVEMENT,IF(C12&gt;=SEUIL_HORS_EAU,APPEL_HORS_EAU,IF(C12&gt;=SEUIL_FONDATIONS,APPEL_FONDATIONS,0))))</f>
        <v>0.35</v>
      </c>
      <c r="F12" s="29" t="n">
        <f aca="false">ROUND(CA_TTC*D12*E12,2)</f>
        <v>1240330</v>
      </c>
      <c r="G12" s="29" t="n">
        <f aca="false">F12-F11</f>
        <v>1240330</v>
      </c>
      <c r="H12" s="29" t="n">
        <f aca="false">IF(A12=1,FONDS_PROPRES,0)</f>
        <v>0</v>
      </c>
      <c r="I12" s="29" t="n">
        <f aca="false">IF(A12=MOIS_TERRAIN,PRIX_TERRAIN*(1+FRAIS_ACQ),0)</f>
        <v>0</v>
      </c>
      <c r="J12" s="29" t="n">
        <f aca="false">IF(A12=MOIS_TAXES,TAXES_URBA,0)</f>
        <v>0</v>
      </c>
      <c r="K12" s="29" t="n">
        <f aca="false">IF(AND(A12&gt;=MOIS_TRAVAUX,A12&lt;=MOIS_ACHEVEMENT),TRAVAUX_HT/DUREE_CHANTIER,0)</f>
        <v>119860</v>
      </c>
      <c r="L12" s="29" t="n">
        <f aca="false">(SDP*COUT_M2+VRD)*HONORAIRES*IF(MOIS_TRAVAUX&gt;1,IF(A12&lt;MOIS_TRAVAUX,HONO_AVANT/(MOIS_TRAVAUX-1),IF(A12&lt;=MOIS_ACHEVEMENT,(1-HONO_AVANT)/DUREE_CHANTIER,0)),IF(A12&lt;=MOIS_ACHEVEMENT,1/DUREE_CHANTIER,0))</f>
        <v>10084.375</v>
      </c>
      <c r="M12" s="29" t="n">
        <f aca="false">IF(A12=MOIS_TRAVAUX,(SDP*COUT_M2+VRD)*ASSURANCES,0)</f>
        <v>0</v>
      </c>
      <c r="N12" s="29" t="n">
        <f aca="false">CA_HT*COMMERCIALISATION*(D12-D11)+IF(AND(A12&gt;=MOIS_VENTES,A12&lt;=MOIS_VENTES+DUREE_VENTES),PUBLICITE/(DUREE_VENTES+1),0)</f>
        <v>11899.1666666667</v>
      </c>
      <c r="O12" s="29" t="n">
        <f aca="false">IF(A12&lt;=MOIS_LIVRAISON,CA_HT*GESTION/MOIS_LIVRAISON,0)</f>
        <v>9465.27777777778</v>
      </c>
      <c r="P12" s="29" t="n">
        <f aca="false">IF(A12=MOIS_TERRAIN,FRAIS_DOSSIER,0)+IF(AND(A12&gt;=MOIS_TRAVAUX,A12&lt;=MOIS_ACHEVEMENT),GFA_MONTANT*GFA_TAUX/12,0)</f>
        <v>2250</v>
      </c>
      <c r="Q12" s="29" t="n">
        <f aca="false">(K12+L12+N12)*TVA_ACHATS</f>
        <v>28368.7083333333</v>
      </c>
      <c r="R12" s="29" t="n">
        <f aca="false">G12*TVA/(1+TVA)</f>
        <v>206721.666666667</v>
      </c>
      <c r="S12" s="29" t="n">
        <f aca="false">MAX(0,R12-Q12-T11)</f>
        <v>59603.3333333333</v>
      </c>
      <c r="T12" s="29" t="n">
        <f aca="false">MAX(0,T11+Q12-R12)</f>
        <v>0</v>
      </c>
      <c r="U12" s="29" t="n">
        <f aca="false">S11</f>
        <v>0</v>
      </c>
      <c r="V12" s="29" t="n">
        <f aca="false">SUM(I12:Q12)+U12</f>
        <v>181927.527777778</v>
      </c>
      <c r="W12" s="29" t="n">
        <f aca="false">ROUND(AA11*TAUX_CREDIT/12,2)</f>
        <v>7359.61</v>
      </c>
      <c r="X12" s="29" t="n">
        <f aca="false">G12-V12-W12</f>
        <v>1051042.86222222</v>
      </c>
      <c r="Y12" s="29" t="n">
        <f aca="false">MAX(0,MIN(TRESO_MIN-(AB11+H12+X12),PLAFOND_CREDIT-AA11))</f>
        <v>0</v>
      </c>
      <c r="Z12" s="29" t="n">
        <f aca="false">MIN(AA11,MAX(0,AB11+H12+X12-TRESO_MIN))</f>
        <v>1051042.86222222</v>
      </c>
      <c r="AA12" s="30" t="n">
        <f aca="false">AA11+Y12-Z12</f>
        <v>715262.794444444</v>
      </c>
      <c r="AB12" s="30" t="n">
        <f aca="false">AB11+H12+X12+Y12-Z12</f>
        <v>50000</v>
      </c>
      <c r="AC12" s="30" t="n">
        <f aca="false">AC11+X12</f>
        <v>-1315262.79444444</v>
      </c>
      <c r="AD12" s="31" t="str">
        <f aca="false">IF(AC12=MIN($AC$6:$AC$53),"◀ POINT BAS","")</f>
        <v/>
      </c>
    </row>
    <row r="13" customFormat="false" ht="15" hidden="false" customHeight="false" outlineLevel="0" collapsed="false">
      <c r="A13" s="27" t="n">
        <v>8</v>
      </c>
      <c r="B13" s="28" t="n">
        <f aca="false">EDATE(DEBUT_PLAN,A13-1)</f>
        <v>46235</v>
      </c>
      <c r="C13" s="22" t="n">
        <f aca="false">MAX(0,MIN(1,(A13-MOIS_TRAVAUX+1)/DUREE_CHANTIER))</f>
        <v>0.25</v>
      </c>
      <c r="D13" s="22" t="n">
        <f aca="false">IF(A13&lt;MOIS_VENTES,0,MIN(1,PRECOMMERCIALISATION+(1-PRECOMMERCIALISATION)*IF(DUREE_VENTES&gt;0,(A13-MOIS_VENTES)/DUREE_VENTES,1)))</f>
        <v>0.56</v>
      </c>
      <c r="E13" s="22" t="n">
        <f aca="false">IF(A13&gt;=MOIS_LIVRAISON,APPEL_LIVRAISON,IF(C13&gt;=1,APPEL_ACHEVEMENT,IF(C13&gt;=SEUIL_HORS_EAU,APPEL_HORS_EAU,IF(C13&gt;=SEUIL_FONDATIONS,APPEL_FONDATIONS,0))))</f>
        <v>0.35</v>
      </c>
      <c r="F13" s="29" t="n">
        <f aca="false">ROUND(CA_TTC*D13*E13,2)</f>
        <v>1335740</v>
      </c>
      <c r="G13" s="29" t="n">
        <f aca="false">F13-F12</f>
        <v>95410</v>
      </c>
      <c r="H13" s="29" t="n">
        <f aca="false">IF(A13=1,FONDS_PROPRES,0)</f>
        <v>0</v>
      </c>
      <c r="I13" s="29" t="n">
        <f aca="false">IF(A13=MOIS_TERRAIN,PRIX_TERRAIN*(1+FRAIS_ACQ),0)</f>
        <v>0</v>
      </c>
      <c r="J13" s="29" t="n">
        <f aca="false">IF(A13=MOIS_TAXES,TAXES_URBA,0)</f>
        <v>0</v>
      </c>
      <c r="K13" s="29" t="n">
        <f aca="false">IF(AND(A13&gt;=MOIS_TRAVAUX,A13&lt;=MOIS_ACHEVEMENT),TRAVAUX_HT/DUREE_CHANTIER,0)</f>
        <v>119860</v>
      </c>
      <c r="L13" s="29" t="n">
        <f aca="false">(SDP*COUT_M2+VRD)*HONORAIRES*IF(MOIS_TRAVAUX&gt;1,IF(A13&lt;MOIS_TRAVAUX,HONO_AVANT/(MOIS_TRAVAUX-1),IF(A13&lt;=MOIS_ACHEVEMENT,(1-HONO_AVANT)/DUREE_CHANTIER,0)),IF(A13&lt;=MOIS_ACHEVEMENT,1/DUREE_CHANTIER,0))</f>
        <v>10084.375</v>
      </c>
      <c r="M13" s="29" t="n">
        <f aca="false">IF(A13=MOIS_TRAVAUX,(SDP*COUT_M2+VRD)*ASSURANCES,0)</f>
        <v>0</v>
      </c>
      <c r="N13" s="29" t="n">
        <f aca="false">CA_HT*COMMERCIALISATION*(D13-D12)+IF(AND(A13&gt;=MOIS_VENTES,A13&lt;=MOIS_VENTES+DUREE_VENTES),PUBLICITE/(DUREE_VENTES+1),0)</f>
        <v>11899.1666666667</v>
      </c>
      <c r="O13" s="29" t="n">
        <f aca="false">IF(A13&lt;=MOIS_LIVRAISON,CA_HT*GESTION/MOIS_LIVRAISON,0)</f>
        <v>9465.27777777778</v>
      </c>
      <c r="P13" s="29" t="n">
        <f aca="false">IF(A13=MOIS_TERRAIN,FRAIS_DOSSIER,0)+IF(AND(A13&gt;=MOIS_TRAVAUX,A13&lt;=MOIS_ACHEVEMENT),GFA_MONTANT*GFA_TAUX/12,0)</f>
        <v>2250</v>
      </c>
      <c r="Q13" s="29" t="n">
        <f aca="false">(K13+L13+N13)*TVA_ACHATS</f>
        <v>28368.7083333333</v>
      </c>
      <c r="R13" s="29" t="n">
        <f aca="false">G13*TVA/(1+TVA)</f>
        <v>15901.6666666667</v>
      </c>
      <c r="S13" s="29" t="n">
        <f aca="false">MAX(0,R13-Q13-T12)</f>
        <v>0</v>
      </c>
      <c r="T13" s="29" t="n">
        <f aca="false">MAX(0,T12+Q13-R13)</f>
        <v>12467.0416666667</v>
      </c>
      <c r="U13" s="29" t="n">
        <f aca="false">S12</f>
        <v>59603.3333333333</v>
      </c>
      <c r="V13" s="29" t="n">
        <f aca="false">SUM(I13:Q13)+U13</f>
        <v>241530.861111111</v>
      </c>
      <c r="W13" s="29" t="n">
        <f aca="false">ROUND(AA12*TAUX_CREDIT/12,2)</f>
        <v>2980.26</v>
      </c>
      <c r="X13" s="29" t="n">
        <f aca="false">G13-V13-W13</f>
        <v>-149101.121111111</v>
      </c>
      <c r="Y13" s="29" t="n">
        <f aca="false">MAX(0,MIN(TRESO_MIN-(AB12+H13+X13),PLAFOND_CREDIT-AA12))</f>
        <v>149101.121111111</v>
      </c>
      <c r="Z13" s="29" t="n">
        <f aca="false">MIN(AA12,MAX(0,AB12+H13+X13-TRESO_MIN))</f>
        <v>0</v>
      </c>
      <c r="AA13" s="30" t="n">
        <f aca="false">AA12+Y13-Z13</f>
        <v>864363.915555556</v>
      </c>
      <c r="AB13" s="30" t="n">
        <f aca="false">AB12+H13+X13+Y13-Z13</f>
        <v>50000</v>
      </c>
      <c r="AC13" s="30" t="n">
        <f aca="false">AC12+X13</f>
        <v>-1464363.91555556</v>
      </c>
      <c r="AD13" s="31" t="str">
        <f aca="false">IF(AC13=MIN($AC$6:$AC$53),"◀ POINT BAS","")</f>
        <v/>
      </c>
    </row>
    <row r="14" customFormat="false" ht="15" hidden="false" customHeight="false" outlineLevel="0" collapsed="false">
      <c r="A14" s="27" t="n">
        <v>9</v>
      </c>
      <c r="B14" s="28" t="n">
        <f aca="false">EDATE(DEBUT_PLAN,A14-1)</f>
        <v>46266</v>
      </c>
      <c r="C14" s="22" t="n">
        <f aca="false">MAX(0,MIN(1,(A14-MOIS_TRAVAUX+1)/DUREE_CHANTIER))</f>
        <v>0.3</v>
      </c>
      <c r="D14" s="22" t="n">
        <f aca="false">IF(A14&lt;MOIS_VENTES,0,MIN(1,PRECOMMERCIALISATION+(1-PRECOMMERCIALISATION)*IF(DUREE_VENTES&gt;0,(A14-MOIS_VENTES)/DUREE_VENTES,1)))</f>
        <v>0.6</v>
      </c>
      <c r="E14" s="22" t="n">
        <f aca="false">IF(A14&gt;=MOIS_LIVRAISON,APPEL_LIVRAISON,IF(C14&gt;=1,APPEL_ACHEVEMENT,IF(C14&gt;=SEUIL_HORS_EAU,APPEL_HORS_EAU,IF(C14&gt;=SEUIL_FONDATIONS,APPEL_FONDATIONS,0))))</f>
        <v>0.35</v>
      </c>
      <c r="F14" s="29" t="n">
        <f aca="false">ROUND(CA_TTC*D14*E14,2)</f>
        <v>1431150</v>
      </c>
      <c r="G14" s="29" t="n">
        <f aca="false">F14-F13</f>
        <v>95410</v>
      </c>
      <c r="H14" s="29" t="n">
        <f aca="false">IF(A14=1,FONDS_PROPRES,0)</f>
        <v>0</v>
      </c>
      <c r="I14" s="29" t="n">
        <f aca="false">IF(A14=MOIS_TERRAIN,PRIX_TERRAIN*(1+FRAIS_ACQ),0)</f>
        <v>0</v>
      </c>
      <c r="J14" s="29" t="n">
        <f aca="false">IF(A14=MOIS_TAXES,TAXES_URBA,0)</f>
        <v>0</v>
      </c>
      <c r="K14" s="29" t="n">
        <f aca="false">IF(AND(A14&gt;=MOIS_TRAVAUX,A14&lt;=MOIS_ACHEVEMENT),TRAVAUX_HT/DUREE_CHANTIER,0)</f>
        <v>119860</v>
      </c>
      <c r="L14" s="29" t="n">
        <f aca="false">(SDP*COUT_M2+VRD)*HONORAIRES*IF(MOIS_TRAVAUX&gt;1,IF(A14&lt;MOIS_TRAVAUX,HONO_AVANT/(MOIS_TRAVAUX-1),IF(A14&lt;=MOIS_ACHEVEMENT,(1-HONO_AVANT)/DUREE_CHANTIER,0)),IF(A14&lt;=MOIS_ACHEVEMENT,1/DUREE_CHANTIER,0))</f>
        <v>10084.375</v>
      </c>
      <c r="M14" s="29" t="n">
        <f aca="false">IF(A14=MOIS_TRAVAUX,(SDP*COUT_M2+VRD)*ASSURANCES,0)</f>
        <v>0</v>
      </c>
      <c r="N14" s="29" t="n">
        <f aca="false">CA_HT*COMMERCIALISATION*(D14-D13)+IF(AND(A14&gt;=MOIS_VENTES,A14&lt;=MOIS_VENTES+DUREE_VENTES),PUBLICITE/(DUREE_VENTES+1),0)</f>
        <v>11899.1666666667</v>
      </c>
      <c r="O14" s="29" t="n">
        <f aca="false">IF(A14&lt;=MOIS_LIVRAISON,CA_HT*GESTION/MOIS_LIVRAISON,0)</f>
        <v>9465.27777777778</v>
      </c>
      <c r="P14" s="29" t="n">
        <f aca="false">IF(A14=MOIS_TERRAIN,FRAIS_DOSSIER,0)+IF(AND(A14&gt;=MOIS_TRAVAUX,A14&lt;=MOIS_ACHEVEMENT),GFA_MONTANT*GFA_TAUX/12,0)</f>
        <v>2250</v>
      </c>
      <c r="Q14" s="29" t="n">
        <f aca="false">(K14+L14+N14)*TVA_ACHATS</f>
        <v>28368.7083333333</v>
      </c>
      <c r="R14" s="29" t="n">
        <f aca="false">G14*TVA/(1+TVA)</f>
        <v>15901.6666666667</v>
      </c>
      <c r="S14" s="29" t="n">
        <f aca="false">MAX(0,R14-Q14-T13)</f>
        <v>0</v>
      </c>
      <c r="T14" s="29" t="n">
        <f aca="false">MAX(0,T13+Q14-R14)</f>
        <v>24934.0833333333</v>
      </c>
      <c r="U14" s="29" t="n">
        <f aca="false">S13</f>
        <v>0</v>
      </c>
      <c r="V14" s="29" t="n">
        <f aca="false">SUM(I14:Q14)+U14</f>
        <v>181927.527777778</v>
      </c>
      <c r="W14" s="29" t="n">
        <f aca="false">ROUND(AA13*TAUX_CREDIT/12,2)</f>
        <v>3601.52</v>
      </c>
      <c r="X14" s="29" t="n">
        <f aca="false">G14-V14-W14</f>
        <v>-90119.0477777778</v>
      </c>
      <c r="Y14" s="29" t="n">
        <f aca="false">MAX(0,MIN(TRESO_MIN-(AB13+H14+X14),PLAFOND_CREDIT-AA13))</f>
        <v>90119.0477777778</v>
      </c>
      <c r="Z14" s="29" t="n">
        <f aca="false">MIN(AA13,MAX(0,AB13+H14+X14-TRESO_MIN))</f>
        <v>0</v>
      </c>
      <c r="AA14" s="30" t="n">
        <f aca="false">AA13+Y14-Z14</f>
        <v>954482.963333333</v>
      </c>
      <c r="AB14" s="30" t="n">
        <f aca="false">AB13+H14+X14+Y14-Z14</f>
        <v>50000</v>
      </c>
      <c r="AC14" s="30" t="n">
        <f aca="false">AC13+X14</f>
        <v>-1554482.96333333</v>
      </c>
      <c r="AD14" s="31" t="str">
        <f aca="false">IF(AC14=MIN($AC$6:$AC$53),"◀ POINT BAS","")</f>
        <v/>
      </c>
    </row>
    <row r="15" customFormat="false" ht="15" hidden="false" customHeight="false" outlineLevel="0" collapsed="false">
      <c r="A15" s="27" t="n">
        <v>10</v>
      </c>
      <c r="B15" s="28" t="n">
        <f aca="false">EDATE(DEBUT_PLAN,A15-1)</f>
        <v>46296</v>
      </c>
      <c r="C15" s="22" t="n">
        <f aca="false">MAX(0,MIN(1,(A15-MOIS_TRAVAUX+1)/DUREE_CHANTIER))</f>
        <v>0.35</v>
      </c>
      <c r="D15" s="22" t="n">
        <f aca="false">IF(A15&lt;MOIS_VENTES,0,MIN(1,PRECOMMERCIALISATION+(1-PRECOMMERCIALISATION)*IF(DUREE_VENTES&gt;0,(A15-MOIS_VENTES)/DUREE_VENTES,1)))</f>
        <v>0.64</v>
      </c>
      <c r="E15" s="22" t="n">
        <f aca="false">IF(A15&gt;=MOIS_LIVRAISON,APPEL_LIVRAISON,IF(C15&gt;=1,APPEL_ACHEVEMENT,IF(C15&gt;=SEUIL_HORS_EAU,APPEL_HORS_EAU,IF(C15&gt;=SEUIL_FONDATIONS,APPEL_FONDATIONS,0))))</f>
        <v>0.35</v>
      </c>
      <c r="F15" s="29" t="n">
        <f aca="false">ROUND(CA_TTC*D15*E15,2)</f>
        <v>1526560</v>
      </c>
      <c r="G15" s="29" t="n">
        <f aca="false">F15-F14</f>
        <v>95410</v>
      </c>
      <c r="H15" s="29" t="n">
        <f aca="false">IF(A15=1,FONDS_PROPRES,0)</f>
        <v>0</v>
      </c>
      <c r="I15" s="29" t="n">
        <f aca="false">IF(A15=MOIS_TERRAIN,PRIX_TERRAIN*(1+FRAIS_ACQ),0)</f>
        <v>0</v>
      </c>
      <c r="J15" s="29" t="n">
        <f aca="false">IF(A15=MOIS_TAXES,TAXES_URBA,0)</f>
        <v>0</v>
      </c>
      <c r="K15" s="29" t="n">
        <f aca="false">IF(AND(A15&gt;=MOIS_TRAVAUX,A15&lt;=MOIS_ACHEVEMENT),TRAVAUX_HT/DUREE_CHANTIER,0)</f>
        <v>119860</v>
      </c>
      <c r="L15" s="29" t="n">
        <f aca="false">(SDP*COUT_M2+VRD)*HONORAIRES*IF(MOIS_TRAVAUX&gt;1,IF(A15&lt;MOIS_TRAVAUX,HONO_AVANT/(MOIS_TRAVAUX-1),IF(A15&lt;=MOIS_ACHEVEMENT,(1-HONO_AVANT)/DUREE_CHANTIER,0)),IF(A15&lt;=MOIS_ACHEVEMENT,1/DUREE_CHANTIER,0))</f>
        <v>10084.375</v>
      </c>
      <c r="M15" s="29" t="n">
        <f aca="false">IF(A15=MOIS_TRAVAUX,(SDP*COUT_M2+VRD)*ASSURANCES,0)</f>
        <v>0</v>
      </c>
      <c r="N15" s="29" t="n">
        <f aca="false">CA_HT*COMMERCIALISATION*(D15-D14)+IF(AND(A15&gt;=MOIS_VENTES,A15&lt;=MOIS_VENTES+DUREE_VENTES),PUBLICITE/(DUREE_VENTES+1),0)</f>
        <v>11899.1666666667</v>
      </c>
      <c r="O15" s="29" t="n">
        <f aca="false">IF(A15&lt;=MOIS_LIVRAISON,CA_HT*GESTION/MOIS_LIVRAISON,0)</f>
        <v>9465.27777777778</v>
      </c>
      <c r="P15" s="29" t="n">
        <f aca="false">IF(A15=MOIS_TERRAIN,FRAIS_DOSSIER,0)+IF(AND(A15&gt;=MOIS_TRAVAUX,A15&lt;=MOIS_ACHEVEMENT),GFA_MONTANT*GFA_TAUX/12,0)</f>
        <v>2250</v>
      </c>
      <c r="Q15" s="29" t="n">
        <f aca="false">(K15+L15+N15)*TVA_ACHATS</f>
        <v>28368.7083333333</v>
      </c>
      <c r="R15" s="29" t="n">
        <f aca="false">G15*TVA/(1+TVA)</f>
        <v>15901.6666666667</v>
      </c>
      <c r="S15" s="29" t="n">
        <f aca="false">MAX(0,R15-Q15-T14)</f>
        <v>0</v>
      </c>
      <c r="T15" s="29" t="n">
        <f aca="false">MAX(0,T14+Q15-R15)</f>
        <v>37401.125</v>
      </c>
      <c r="U15" s="29" t="n">
        <f aca="false">S14</f>
        <v>0</v>
      </c>
      <c r="V15" s="29" t="n">
        <f aca="false">SUM(I15:Q15)+U15</f>
        <v>181927.527777778</v>
      </c>
      <c r="W15" s="29" t="n">
        <f aca="false">ROUND(AA14*TAUX_CREDIT/12,2)</f>
        <v>3977.01</v>
      </c>
      <c r="X15" s="29" t="n">
        <f aca="false">G15-V15-W15</f>
        <v>-90494.5377777778</v>
      </c>
      <c r="Y15" s="29" t="n">
        <f aca="false">MAX(0,MIN(TRESO_MIN-(AB14+H15+X15),PLAFOND_CREDIT-AA14))</f>
        <v>90494.5377777778</v>
      </c>
      <c r="Z15" s="29" t="n">
        <f aca="false">MIN(AA14,MAX(0,AB14+H15+X15-TRESO_MIN))</f>
        <v>0</v>
      </c>
      <c r="AA15" s="30" t="n">
        <f aca="false">AA14+Y15-Z15</f>
        <v>1044977.50111111</v>
      </c>
      <c r="AB15" s="30" t="n">
        <f aca="false">AB14+H15+X15+Y15-Z15</f>
        <v>50000</v>
      </c>
      <c r="AC15" s="30" t="n">
        <f aca="false">AC14+X15</f>
        <v>-1644977.50111111</v>
      </c>
      <c r="AD15" s="31" t="str">
        <f aca="false">IF(AC15=MIN($AC$6:$AC$53),"◀ POINT BAS","")</f>
        <v/>
      </c>
    </row>
    <row r="16" customFormat="false" ht="15" hidden="false" customHeight="false" outlineLevel="0" collapsed="false">
      <c r="A16" s="27" t="n">
        <v>11</v>
      </c>
      <c r="B16" s="28" t="n">
        <f aca="false">EDATE(DEBUT_PLAN,A16-1)</f>
        <v>46327</v>
      </c>
      <c r="C16" s="22" t="n">
        <f aca="false">MAX(0,MIN(1,(A16-MOIS_TRAVAUX+1)/DUREE_CHANTIER))</f>
        <v>0.4</v>
      </c>
      <c r="D16" s="22" t="n">
        <f aca="false">IF(A16&lt;MOIS_VENTES,0,MIN(1,PRECOMMERCIALISATION+(1-PRECOMMERCIALISATION)*IF(DUREE_VENTES&gt;0,(A16-MOIS_VENTES)/DUREE_VENTES,1)))</f>
        <v>0.68</v>
      </c>
      <c r="E16" s="22" t="n">
        <f aca="false">IF(A16&gt;=MOIS_LIVRAISON,APPEL_LIVRAISON,IF(C16&gt;=1,APPEL_ACHEVEMENT,IF(C16&gt;=SEUIL_HORS_EAU,APPEL_HORS_EAU,IF(C16&gt;=SEUIL_FONDATIONS,APPEL_FONDATIONS,0))))</f>
        <v>0.35</v>
      </c>
      <c r="F16" s="29" t="n">
        <f aca="false">ROUND(CA_TTC*D16*E16,2)</f>
        <v>1621970</v>
      </c>
      <c r="G16" s="29" t="n">
        <f aca="false">F16-F15</f>
        <v>95410</v>
      </c>
      <c r="H16" s="29" t="n">
        <f aca="false">IF(A16=1,FONDS_PROPRES,0)</f>
        <v>0</v>
      </c>
      <c r="I16" s="29" t="n">
        <f aca="false">IF(A16=MOIS_TERRAIN,PRIX_TERRAIN*(1+FRAIS_ACQ),0)</f>
        <v>0</v>
      </c>
      <c r="J16" s="29" t="n">
        <f aca="false">IF(A16=MOIS_TAXES,TAXES_URBA,0)</f>
        <v>0</v>
      </c>
      <c r="K16" s="29" t="n">
        <f aca="false">IF(AND(A16&gt;=MOIS_TRAVAUX,A16&lt;=MOIS_ACHEVEMENT),TRAVAUX_HT/DUREE_CHANTIER,0)</f>
        <v>119860</v>
      </c>
      <c r="L16" s="29" t="n">
        <f aca="false">(SDP*COUT_M2+VRD)*HONORAIRES*IF(MOIS_TRAVAUX&gt;1,IF(A16&lt;MOIS_TRAVAUX,HONO_AVANT/(MOIS_TRAVAUX-1),IF(A16&lt;=MOIS_ACHEVEMENT,(1-HONO_AVANT)/DUREE_CHANTIER,0)),IF(A16&lt;=MOIS_ACHEVEMENT,1/DUREE_CHANTIER,0))</f>
        <v>10084.375</v>
      </c>
      <c r="M16" s="29" t="n">
        <f aca="false">IF(A16=MOIS_TRAVAUX,(SDP*COUT_M2+VRD)*ASSURANCES,0)</f>
        <v>0</v>
      </c>
      <c r="N16" s="29" t="n">
        <f aca="false">CA_HT*COMMERCIALISATION*(D16-D15)+IF(AND(A16&gt;=MOIS_VENTES,A16&lt;=MOIS_VENTES+DUREE_VENTES),PUBLICITE/(DUREE_VENTES+1),0)</f>
        <v>11899.1666666667</v>
      </c>
      <c r="O16" s="29" t="n">
        <f aca="false">IF(A16&lt;=MOIS_LIVRAISON,CA_HT*GESTION/MOIS_LIVRAISON,0)</f>
        <v>9465.27777777778</v>
      </c>
      <c r="P16" s="29" t="n">
        <f aca="false">IF(A16=MOIS_TERRAIN,FRAIS_DOSSIER,0)+IF(AND(A16&gt;=MOIS_TRAVAUX,A16&lt;=MOIS_ACHEVEMENT),GFA_MONTANT*GFA_TAUX/12,0)</f>
        <v>2250</v>
      </c>
      <c r="Q16" s="29" t="n">
        <f aca="false">(K16+L16+N16)*TVA_ACHATS</f>
        <v>28368.7083333333</v>
      </c>
      <c r="R16" s="29" t="n">
        <f aca="false">G16*TVA/(1+TVA)</f>
        <v>15901.6666666667</v>
      </c>
      <c r="S16" s="29" t="n">
        <f aca="false">MAX(0,R16-Q16-T15)</f>
        <v>0</v>
      </c>
      <c r="T16" s="29" t="n">
        <f aca="false">MAX(0,T15+Q16-R16)</f>
        <v>49868.1666666667</v>
      </c>
      <c r="U16" s="29" t="n">
        <f aca="false">S15</f>
        <v>0</v>
      </c>
      <c r="V16" s="29" t="n">
        <f aca="false">SUM(I16:Q16)+U16</f>
        <v>181927.527777778</v>
      </c>
      <c r="W16" s="29" t="n">
        <f aca="false">ROUND(AA15*TAUX_CREDIT/12,2)</f>
        <v>4354.07</v>
      </c>
      <c r="X16" s="29" t="n">
        <f aca="false">G16-V16-W16</f>
        <v>-90871.5977777778</v>
      </c>
      <c r="Y16" s="29" t="n">
        <f aca="false">MAX(0,MIN(TRESO_MIN-(AB15+H16+X16),PLAFOND_CREDIT-AA15))</f>
        <v>90871.5977777778</v>
      </c>
      <c r="Z16" s="29" t="n">
        <f aca="false">MIN(AA15,MAX(0,AB15+H16+X16-TRESO_MIN))</f>
        <v>0</v>
      </c>
      <c r="AA16" s="30" t="n">
        <f aca="false">AA15+Y16-Z16</f>
        <v>1135849.09888889</v>
      </c>
      <c r="AB16" s="30" t="n">
        <f aca="false">AB15+H16+X16+Y16-Z16</f>
        <v>50000</v>
      </c>
      <c r="AC16" s="30" t="n">
        <f aca="false">AC15+X16</f>
        <v>-1735849.09888889</v>
      </c>
      <c r="AD16" s="31" t="str">
        <f aca="false">IF(AC16=MIN($AC$6:$AC$53),"◀ POINT BAS","")</f>
        <v/>
      </c>
    </row>
    <row r="17" customFormat="false" ht="15" hidden="false" customHeight="false" outlineLevel="0" collapsed="false">
      <c r="A17" s="27" t="n">
        <v>12</v>
      </c>
      <c r="B17" s="28" t="n">
        <f aca="false">EDATE(DEBUT_PLAN,A17-1)</f>
        <v>46357</v>
      </c>
      <c r="C17" s="22" t="n">
        <f aca="false">MAX(0,MIN(1,(A17-MOIS_TRAVAUX+1)/DUREE_CHANTIER))</f>
        <v>0.45</v>
      </c>
      <c r="D17" s="22" t="n">
        <f aca="false">IF(A17&lt;MOIS_VENTES,0,MIN(1,PRECOMMERCIALISATION+(1-PRECOMMERCIALISATION)*IF(DUREE_VENTES&gt;0,(A17-MOIS_VENTES)/DUREE_VENTES,1)))</f>
        <v>0.72</v>
      </c>
      <c r="E17" s="22" t="n">
        <f aca="false">IF(A17&gt;=MOIS_LIVRAISON,APPEL_LIVRAISON,IF(C17&gt;=1,APPEL_ACHEVEMENT,IF(C17&gt;=SEUIL_HORS_EAU,APPEL_HORS_EAU,IF(C17&gt;=SEUIL_FONDATIONS,APPEL_FONDATIONS,0))))</f>
        <v>0.35</v>
      </c>
      <c r="F17" s="29" t="n">
        <f aca="false">ROUND(CA_TTC*D17*E17,2)</f>
        <v>1717380</v>
      </c>
      <c r="G17" s="29" t="n">
        <f aca="false">F17-F16</f>
        <v>95410</v>
      </c>
      <c r="H17" s="29" t="n">
        <f aca="false">IF(A17=1,FONDS_PROPRES,0)</f>
        <v>0</v>
      </c>
      <c r="I17" s="29" t="n">
        <f aca="false">IF(A17=MOIS_TERRAIN,PRIX_TERRAIN*(1+FRAIS_ACQ),0)</f>
        <v>0</v>
      </c>
      <c r="J17" s="29" t="n">
        <f aca="false">IF(A17=MOIS_TAXES,TAXES_URBA,0)</f>
        <v>0</v>
      </c>
      <c r="K17" s="29" t="n">
        <f aca="false">IF(AND(A17&gt;=MOIS_TRAVAUX,A17&lt;=MOIS_ACHEVEMENT),TRAVAUX_HT/DUREE_CHANTIER,0)</f>
        <v>119860</v>
      </c>
      <c r="L17" s="29" t="n">
        <f aca="false">(SDP*COUT_M2+VRD)*HONORAIRES*IF(MOIS_TRAVAUX&gt;1,IF(A17&lt;MOIS_TRAVAUX,HONO_AVANT/(MOIS_TRAVAUX-1),IF(A17&lt;=MOIS_ACHEVEMENT,(1-HONO_AVANT)/DUREE_CHANTIER,0)),IF(A17&lt;=MOIS_ACHEVEMENT,1/DUREE_CHANTIER,0))</f>
        <v>10084.375</v>
      </c>
      <c r="M17" s="29" t="n">
        <f aca="false">IF(A17=MOIS_TRAVAUX,(SDP*COUT_M2+VRD)*ASSURANCES,0)</f>
        <v>0</v>
      </c>
      <c r="N17" s="29" t="n">
        <f aca="false">CA_HT*COMMERCIALISATION*(D17-D16)+IF(AND(A17&gt;=MOIS_VENTES,A17&lt;=MOIS_VENTES+DUREE_VENTES),PUBLICITE/(DUREE_VENTES+1),0)</f>
        <v>11899.1666666667</v>
      </c>
      <c r="O17" s="29" t="n">
        <f aca="false">IF(A17&lt;=MOIS_LIVRAISON,CA_HT*GESTION/MOIS_LIVRAISON,0)</f>
        <v>9465.27777777778</v>
      </c>
      <c r="P17" s="29" t="n">
        <f aca="false">IF(A17=MOIS_TERRAIN,FRAIS_DOSSIER,0)+IF(AND(A17&gt;=MOIS_TRAVAUX,A17&lt;=MOIS_ACHEVEMENT),GFA_MONTANT*GFA_TAUX/12,0)</f>
        <v>2250</v>
      </c>
      <c r="Q17" s="29" t="n">
        <f aca="false">(K17+L17+N17)*TVA_ACHATS</f>
        <v>28368.7083333333</v>
      </c>
      <c r="R17" s="29" t="n">
        <f aca="false">G17*TVA/(1+TVA)</f>
        <v>15901.6666666667</v>
      </c>
      <c r="S17" s="29" t="n">
        <f aca="false">MAX(0,R17-Q17-T16)</f>
        <v>0</v>
      </c>
      <c r="T17" s="29" t="n">
        <f aca="false">MAX(0,T16+Q17-R17)</f>
        <v>62335.2083333333</v>
      </c>
      <c r="U17" s="29" t="n">
        <f aca="false">S16</f>
        <v>0</v>
      </c>
      <c r="V17" s="29" t="n">
        <f aca="false">SUM(I17:Q17)+U17</f>
        <v>181927.527777778</v>
      </c>
      <c r="W17" s="29" t="n">
        <f aca="false">ROUND(AA16*TAUX_CREDIT/12,2)</f>
        <v>4732.7</v>
      </c>
      <c r="X17" s="29" t="n">
        <f aca="false">G17-V17-W17</f>
        <v>-91250.2277777778</v>
      </c>
      <c r="Y17" s="29" t="n">
        <f aca="false">MAX(0,MIN(TRESO_MIN-(AB16+H17+X17),PLAFOND_CREDIT-AA16))</f>
        <v>91250.2277777778</v>
      </c>
      <c r="Z17" s="29" t="n">
        <f aca="false">MIN(AA16,MAX(0,AB16+H17+X17-TRESO_MIN))</f>
        <v>0</v>
      </c>
      <c r="AA17" s="30" t="n">
        <f aca="false">AA16+Y17-Z17</f>
        <v>1227099.32666667</v>
      </c>
      <c r="AB17" s="30" t="n">
        <f aca="false">AB16+H17+X17+Y17-Z17</f>
        <v>50000</v>
      </c>
      <c r="AC17" s="30" t="n">
        <f aca="false">AC16+X17</f>
        <v>-1827099.32666667</v>
      </c>
      <c r="AD17" s="31" t="str">
        <f aca="false">IF(AC17=MIN($AC$6:$AC$53),"◀ POINT BAS","")</f>
        <v/>
      </c>
    </row>
    <row r="18" customFormat="false" ht="15" hidden="false" customHeight="false" outlineLevel="0" collapsed="false">
      <c r="A18" s="27" t="n">
        <v>13</v>
      </c>
      <c r="B18" s="28" t="n">
        <f aca="false">EDATE(DEBUT_PLAN,A18-1)</f>
        <v>46388</v>
      </c>
      <c r="C18" s="22" t="n">
        <f aca="false">MAX(0,MIN(1,(A18-MOIS_TRAVAUX+1)/DUREE_CHANTIER))</f>
        <v>0.5</v>
      </c>
      <c r="D18" s="22" t="n">
        <f aca="false">IF(A18&lt;MOIS_VENTES,0,MIN(1,PRECOMMERCIALISATION+(1-PRECOMMERCIALISATION)*IF(DUREE_VENTES&gt;0,(A18-MOIS_VENTES)/DUREE_VENTES,1)))</f>
        <v>0.76</v>
      </c>
      <c r="E18" s="22" t="n">
        <f aca="false">IF(A18&gt;=MOIS_LIVRAISON,APPEL_LIVRAISON,IF(C18&gt;=1,APPEL_ACHEVEMENT,IF(C18&gt;=SEUIL_HORS_EAU,APPEL_HORS_EAU,IF(C18&gt;=SEUIL_FONDATIONS,APPEL_FONDATIONS,0))))</f>
        <v>0.35</v>
      </c>
      <c r="F18" s="29" t="n">
        <f aca="false">ROUND(CA_TTC*D18*E18,2)</f>
        <v>1812790</v>
      </c>
      <c r="G18" s="29" t="n">
        <f aca="false">F18-F17</f>
        <v>95410</v>
      </c>
      <c r="H18" s="29" t="n">
        <f aca="false">IF(A18=1,FONDS_PROPRES,0)</f>
        <v>0</v>
      </c>
      <c r="I18" s="29" t="n">
        <f aca="false">IF(A18=MOIS_TERRAIN,PRIX_TERRAIN*(1+FRAIS_ACQ),0)</f>
        <v>0</v>
      </c>
      <c r="J18" s="29" t="n">
        <f aca="false">IF(A18=MOIS_TAXES,TAXES_URBA,0)</f>
        <v>0</v>
      </c>
      <c r="K18" s="29" t="n">
        <f aca="false">IF(AND(A18&gt;=MOIS_TRAVAUX,A18&lt;=MOIS_ACHEVEMENT),TRAVAUX_HT/DUREE_CHANTIER,0)</f>
        <v>119860</v>
      </c>
      <c r="L18" s="29" t="n">
        <f aca="false">(SDP*COUT_M2+VRD)*HONORAIRES*IF(MOIS_TRAVAUX&gt;1,IF(A18&lt;MOIS_TRAVAUX,HONO_AVANT/(MOIS_TRAVAUX-1),IF(A18&lt;=MOIS_ACHEVEMENT,(1-HONO_AVANT)/DUREE_CHANTIER,0)),IF(A18&lt;=MOIS_ACHEVEMENT,1/DUREE_CHANTIER,0))</f>
        <v>10084.375</v>
      </c>
      <c r="M18" s="29" t="n">
        <f aca="false">IF(A18=MOIS_TRAVAUX,(SDP*COUT_M2+VRD)*ASSURANCES,0)</f>
        <v>0</v>
      </c>
      <c r="N18" s="29" t="n">
        <f aca="false">CA_HT*COMMERCIALISATION*(D18-D17)+IF(AND(A18&gt;=MOIS_VENTES,A18&lt;=MOIS_VENTES+DUREE_VENTES),PUBLICITE/(DUREE_VENTES+1),0)</f>
        <v>11899.1666666667</v>
      </c>
      <c r="O18" s="29" t="n">
        <f aca="false">IF(A18&lt;=MOIS_LIVRAISON,CA_HT*GESTION/MOIS_LIVRAISON,0)</f>
        <v>9465.27777777778</v>
      </c>
      <c r="P18" s="29" t="n">
        <f aca="false">IF(A18=MOIS_TERRAIN,FRAIS_DOSSIER,0)+IF(AND(A18&gt;=MOIS_TRAVAUX,A18&lt;=MOIS_ACHEVEMENT),GFA_MONTANT*GFA_TAUX/12,0)</f>
        <v>2250</v>
      </c>
      <c r="Q18" s="29" t="n">
        <f aca="false">(K18+L18+N18)*TVA_ACHATS</f>
        <v>28368.7083333333</v>
      </c>
      <c r="R18" s="29" t="n">
        <f aca="false">G18*TVA/(1+TVA)</f>
        <v>15901.6666666667</v>
      </c>
      <c r="S18" s="29" t="n">
        <f aca="false">MAX(0,R18-Q18-T17)</f>
        <v>0</v>
      </c>
      <c r="T18" s="29" t="n">
        <f aca="false">MAX(0,T17+Q18-R18)</f>
        <v>74802.25</v>
      </c>
      <c r="U18" s="29" t="n">
        <f aca="false">S17</f>
        <v>0</v>
      </c>
      <c r="V18" s="29" t="n">
        <f aca="false">SUM(I18:Q18)+U18</f>
        <v>181927.527777778</v>
      </c>
      <c r="W18" s="29" t="n">
        <f aca="false">ROUND(AA17*TAUX_CREDIT/12,2)</f>
        <v>5112.91</v>
      </c>
      <c r="X18" s="29" t="n">
        <f aca="false">G18-V18-W18</f>
        <v>-91630.4377777778</v>
      </c>
      <c r="Y18" s="29" t="n">
        <f aca="false">MAX(0,MIN(TRESO_MIN-(AB17+H18+X18),PLAFOND_CREDIT-AA17))</f>
        <v>91630.4377777778</v>
      </c>
      <c r="Z18" s="29" t="n">
        <f aca="false">MIN(AA17,MAX(0,AB17+H18+X18-TRESO_MIN))</f>
        <v>0</v>
      </c>
      <c r="AA18" s="30" t="n">
        <f aca="false">AA17+Y18-Z18</f>
        <v>1318729.76444444</v>
      </c>
      <c r="AB18" s="30" t="n">
        <f aca="false">AB17+H18+X18+Y18-Z18</f>
        <v>50000</v>
      </c>
      <c r="AC18" s="30" t="n">
        <f aca="false">AC17+X18</f>
        <v>-1918729.76444444</v>
      </c>
      <c r="AD18" s="31" t="str">
        <f aca="false">IF(AC18=MIN($AC$6:$AC$53),"◀ POINT BAS","")</f>
        <v/>
      </c>
    </row>
    <row r="19" customFormat="false" ht="15" hidden="false" customHeight="false" outlineLevel="0" collapsed="false">
      <c r="A19" s="27" t="n">
        <v>14</v>
      </c>
      <c r="B19" s="28" t="n">
        <f aca="false">EDATE(DEBUT_PLAN,A19-1)</f>
        <v>46419</v>
      </c>
      <c r="C19" s="22" t="n">
        <f aca="false">MAX(0,MIN(1,(A19-MOIS_TRAVAUX+1)/DUREE_CHANTIER))</f>
        <v>0.55</v>
      </c>
      <c r="D19" s="22" t="n">
        <f aca="false">IF(A19&lt;MOIS_VENTES,0,MIN(1,PRECOMMERCIALISATION+(1-PRECOMMERCIALISATION)*IF(DUREE_VENTES&gt;0,(A19-MOIS_VENTES)/DUREE_VENTES,1)))</f>
        <v>0.8</v>
      </c>
      <c r="E19" s="22" t="n">
        <f aca="false">IF(A19&gt;=MOIS_LIVRAISON,APPEL_LIVRAISON,IF(C19&gt;=1,APPEL_ACHEVEMENT,IF(C19&gt;=SEUIL_HORS_EAU,APPEL_HORS_EAU,IF(C19&gt;=SEUIL_FONDATIONS,APPEL_FONDATIONS,0))))</f>
        <v>0.7</v>
      </c>
      <c r="F19" s="29" t="n">
        <f aca="false">ROUND(CA_TTC*D19*E19,2)</f>
        <v>3816400</v>
      </c>
      <c r="G19" s="29" t="n">
        <f aca="false">F19-F18</f>
        <v>2003610</v>
      </c>
      <c r="H19" s="29" t="n">
        <f aca="false">IF(A19=1,FONDS_PROPRES,0)</f>
        <v>0</v>
      </c>
      <c r="I19" s="29" t="n">
        <f aca="false">IF(A19=MOIS_TERRAIN,PRIX_TERRAIN*(1+FRAIS_ACQ),0)</f>
        <v>0</v>
      </c>
      <c r="J19" s="29" t="n">
        <f aca="false">IF(A19=MOIS_TAXES,TAXES_URBA,0)</f>
        <v>0</v>
      </c>
      <c r="K19" s="29" t="n">
        <f aca="false">IF(AND(A19&gt;=MOIS_TRAVAUX,A19&lt;=MOIS_ACHEVEMENT),TRAVAUX_HT/DUREE_CHANTIER,0)</f>
        <v>119860</v>
      </c>
      <c r="L19" s="29" t="n">
        <f aca="false">(SDP*COUT_M2+VRD)*HONORAIRES*IF(MOIS_TRAVAUX&gt;1,IF(A19&lt;MOIS_TRAVAUX,HONO_AVANT/(MOIS_TRAVAUX-1),IF(A19&lt;=MOIS_ACHEVEMENT,(1-HONO_AVANT)/DUREE_CHANTIER,0)),IF(A19&lt;=MOIS_ACHEVEMENT,1/DUREE_CHANTIER,0))</f>
        <v>10084.375</v>
      </c>
      <c r="M19" s="29" t="n">
        <f aca="false">IF(A19=MOIS_TRAVAUX,(SDP*COUT_M2+VRD)*ASSURANCES,0)</f>
        <v>0</v>
      </c>
      <c r="N19" s="29" t="n">
        <f aca="false">CA_HT*COMMERCIALISATION*(D19-D18)+IF(AND(A19&gt;=MOIS_VENTES,A19&lt;=MOIS_VENTES+DUREE_VENTES),PUBLICITE/(DUREE_VENTES+1),0)</f>
        <v>11899.1666666667</v>
      </c>
      <c r="O19" s="29" t="n">
        <f aca="false">IF(A19&lt;=MOIS_LIVRAISON,CA_HT*GESTION/MOIS_LIVRAISON,0)</f>
        <v>9465.27777777778</v>
      </c>
      <c r="P19" s="29" t="n">
        <f aca="false">IF(A19=MOIS_TERRAIN,FRAIS_DOSSIER,0)+IF(AND(A19&gt;=MOIS_TRAVAUX,A19&lt;=MOIS_ACHEVEMENT),GFA_MONTANT*GFA_TAUX/12,0)</f>
        <v>2250</v>
      </c>
      <c r="Q19" s="29" t="n">
        <f aca="false">(K19+L19+N19)*TVA_ACHATS</f>
        <v>28368.7083333333</v>
      </c>
      <c r="R19" s="29" t="n">
        <f aca="false">G19*TVA/(1+TVA)</f>
        <v>333935</v>
      </c>
      <c r="S19" s="29" t="n">
        <f aca="false">MAX(0,R19-Q19-T18)</f>
        <v>230764.041666667</v>
      </c>
      <c r="T19" s="29" t="n">
        <f aca="false">MAX(0,T18+Q19-R19)</f>
        <v>0</v>
      </c>
      <c r="U19" s="29" t="n">
        <f aca="false">S18</f>
        <v>0</v>
      </c>
      <c r="V19" s="29" t="n">
        <f aca="false">SUM(I19:Q19)+U19</f>
        <v>181927.527777778</v>
      </c>
      <c r="W19" s="29" t="n">
        <f aca="false">ROUND(AA18*TAUX_CREDIT/12,2)</f>
        <v>5494.71</v>
      </c>
      <c r="X19" s="29" t="n">
        <f aca="false">G19-V19-W19</f>
        <v>1816187.76222222</v>
      </c>
      <c r="Y19" s="29" t="n">
        <f aca="false">MAX(0,MIN(TRESO_MIN-(AB18+H19+X19),PLAFOND_CREDIT-AA18))</f>
        <v>0</v>
      </c>
      <c r="Z19" s="29" t="n">
        <f aca="false">MIN(AA18,MAX(0,AB18+H19+X19-TRESO_MIN))</f>
        <v>1318729.76444444</v>
      </c>
      <c r="AA19" s="30" t="n">
        <f aca="false">AA18+Y19-Z19</f>
        <v>0</v>
      </c>
      <c r="AB19" s="30" t="n">
        <f aca="false">AB18+H19+X19+Y19-Z19</f>
        <v>547457.997777778</v>
      </c>
      <c r="AC19" s="30" t="n">
        <f aca="false">AC18+X19</f>
        <v>-102542.002222222</v>
      </c>
      <c r="AD19" s="31" t="str">
        <f aca="false">IF(AC19=MIN($AC$6:$AC$53),"◀ POINT BAS","")</f>
        <v/>
      </c>
    </row>
    <row r="20" customFormat="false" ht="15" hidden="false" customHeight="false" outlineLevel="0" collapsed="false">
      <c r="A20" s="27" t="n">
        <v>15</v>
      </c>
      <c r="B20" s="28" t="n">
        <f aca="false">EDATE(DEBUT_PLAN,A20-1)</f>
        <v>46447</v>
      </c>
      <c r="C20" s="22" t="n">
        <f aca="false">MAX(0,MIN(1,(A20-MOIS_TRAVAUX+1)/DUREE_CHANTIER))</f>
        <v>0.6</v>
      </c>
      <c r="D20" s="22" t="n">
        <f aca="false">IF(A20&lt;MOIS_VENTES,0,MIN(1,PRECOMMERCIALISATION+(1-PRECOMMERCIALISATION)*IF(DUREE_VENTES&gt;0,(A20-MOIS_VENTES)/DUREE_VENTES,1)))</f>
        <v>0.84</v>
      </c>
      <c r="E20" s="22" t="n">
        <f aca="false">IF(A20&gt;=MOIS_LIVRAISON,APPEL_LIVRAISON,IF(C20&gt;=1,APPEL_ACHEVEMENT,IF(C20&gt;=SEUIL_HORS_EAU,APPEL_HORS_EAU,IF(C20&gt;=SEUIL_FONDATIONS,APPEL_FONDATIONS,0))))</f>
        <v>0.7</v>
      </c>
      <c r="F20" s="29" t="n">
        <f aca="false">ROUND(CA_TTC*D20*E20,2)</f>
        <v>4007220</v>
      </c>
      <c r="G20" s="29" t="n">
        <f aca="false">F20-F19</f>
        <v>190820</v>
      </c>
      <c r="H20" s="29" t="n">
        <f aca="false">IF(A20=1,FONDS_PROPRES,0)</f>
        <v>0</v>
      </c>
      <c r="I20" s="29" t="n">
        <f aca="false">IF(A20=MOIS_TERRAIN,PRIX_TERRAIN*(1+FRAIS_ACQ),0)</f>
        <v>0</v>
      </c>
      <c r="J20" s="29" t="n">
        <f aca="false">IF(A20=MOIS_TAXES,TAXES_URBA,0)</f>
        <v>0</v>
      </c>
      <c r="K20" s="29" t="n">
        <f aca="false">IF(AND(A20&gt;=MOIS_TRAVAUX,A20&lt;=MOIS_ACHEVEMENT),TRAVAUX_HT/DUREE_CHANTIER,0)</f>
        <v>119860</v>
      </c>
      <c r="L20" s="29" t="n">
        <f aca="false">(SDP*COUT_M2+VRD)*HONORAIRES*IF(MOIS_TRAVAUX&gt;1,IF(A20&lt;MOIS_TRAVAUX,HONO_AVANT/(MOIS_TRAVAUX-1),IF(A20&lt;=MOIS_ACHEVEMENT,(1-HONO_AVANT)/DUREE_CHANTIER,0)),IF(A20&lt;=MOIS_ACHEVEMENT,1/DUREE_CHANTIER,0))</f>
        <v>10084.375</v>
      </c>
      <c r="M20" s="29" t="n">
        <f aca="false">IF(A20=MOIS_TRAVAUX,(SDP*COUT_M2+VRD)*ASSURANCES,0)</f>
        <v>0</v>
      </c>
      <c r="N20" s="29" t="n">
        <f aca="false">CA_HT*COMMERCIALISATION*(D20-D19)+IF(AND(A20&gt;=MOIS_VENTES,A20&lt;=MOIS_VENTES+DUREE_VENTES),PUBLICITE/(DUREE_VENTES+1),0)</f>
        <v>11899.1666666667</v>
      </c>
      <c r="O20" s="29" t="n">
        <f aca="false">IF(A20&lt;=MOIS_LIVRAISON,CA_HT*GESTION/MOIS_LIVRAISON,0)</f>
        <v>9465.27777777778</v>
      </c>
      <c r="P20" s="29" t="n">
        <f aca="false">IF(A20=MOIS_TERRAIN,FRAIS_DOSSIER,0)+IF(AND(A20&gt;=MOIS_TRAVAUX,A20&lt;=MOIS_ACHEVEMENT),GFA_MONTANT*GFA_TAUX/12,0)</f>
        <v>2250</v>
      </c>
      <c r="Q20" s="29" t="n">
        <f aca="false">(K20+L20+N20)*TVA_ACHATS</f>
        <v>28368.7083333333</v>
      </c>
      <c r="R20" s="29" t="n">
        <f aca="false">G20*TVA/(1+TVA)</f>
        <v>31803.3333333333</v>
      </c>
      <c r="S20" s="29" t="n">
        <f aca="false">MAX(0,R20-Q20-T19)</f>
        <v>3434.625</v>
      </c>
      <c r="T20" s="29" t="n">
        <f aca="false">MAX(0,T19+Q20-R20)</f>
        <v>0</v>
      </c>
      <c r="U20" s="29" t="n">
        <f aca="false">S19</f>
        <v>230764.041666667</v>
      </c>
      <c r="V20" s="29" t="n">
        <f aca="false">SUM(I20:Q20)+U20</f>
        <v>412691.569444445</v>
      </c>
      <c r="W20" s="29" t="n">
        <f aca="false">ROUND(AA19*TAUX_CREDIT/12,2)</f>
        <v>0</v>
      </c>
      <c r="X20" s="29" t="n">
        <f aca="false">G20-V20-W20</f>
        <v>-221871.569444445</v>
      </c>
      <c r="Y20" s="29" t="n">
        <f aca="false">MAX(0,MIN(TRESO_MIN-(AB19+H20+X20),PLAFOND_CREDIT-AA19))</f>
        <v>0</v>
      </c>
      <c r="Z20" s="29" t="n">
        <f aca="false">MIN(AA19,MAX(0,AB19+H20+X20-TRESO_MIN))</f>
        <v>0</v>
      </c>
      <c r="AA20" s="30" t="n">
        <f aca="false">AA19+Y20-Z20</f>
        <v>0</v>
      </c>
      <c r="AB20" s="30" t="n">
        <f aca="false">AB19+H20+X20+Y20-Z20</f>
        <v>325586.428333333</v>
      </c>
      <c r="AC20" s="30" t="n">
        <f aca="false">AC19+X20</f>
        <v>-324413.571666667</v>
      </c>
      <c r="AD20" s="31" t="str">
        <f aca="false">IF(AC20=MIN($AC$6:$AC$53),"◀ POINT BAS","")</f>
        <v/>
      </c>
    </row>
    <row r="21" customFormat="false" ht="15" hidden="false" customHeight="false" outlineLevel="0" collapsed="false">
      <c r="A21" s="27" t="n">
        <v>16</v>
      </c>
      <c r="B21" s="28" t="n">
        <f aca="false">EDATE(DEBUT_PLAN,A21-1)</f>
        <v>46478</v>
      </c>
      <c r="C21" s="22" t="n">
        <f aca="false">MAX(0,MIN(1,(A21-MOIS_TRAVAUX+1)/DUREE_CHANTIER))</f>
        <v>0.65</v>
      </c>
      <c r="D21" s="22" t="n">
        <f aca="false">IF(A21&lt;MOIS_VENTES,0,MIN(1,PRECOMMERCIALISATION+(1-PRECOMMERCIALISATION)*IF(DUREE_VENTES&gt;0,(A21-MOIS_VENTES)/DUREE_VENTES,1)))</f>
        <v>0.88</v>
      </c>
      <c r="E21" s="22" t="n">
        <f aca="false">IF(A21&gt;=MOIS_LIVRAISON,APPEL_LIVRAISON,IF(C21&gt;=1,APPEL_ACHEVEMENT,IF(C21&gt;=SEUIL_HORS_EAU,APPEL_HORS_EAU,IF(C21&gt;=SEUIL_FONDATIONS,APPEL_FONDATIONS,0))))</f>
        <v>0.7</v>
      </c>
      <c r="F21" s="29" t="n">
        <f aca="false">ROUND(CA_TTC*D21*E21,2)</f>
        <v>4198040</v>
      </c>
      <c r="G21" s="29" t="n">
        <f aca="false">F21-F20</f>
        <v>190820</v>
      </c>
      <c r="H21" s="29" t="n">
        <f aca="false">IF(A21=1,FONDS_PROPRES,0)</f>
        <v>0</v>
      </c>
      <c r="I21" s="29" t="n">
        <f aca="false">IF(A21=MOIS_TERRAIN,PRIX_TERRAIN*(1+FRAIS_ACQ),0)</f>
        <v>0</v>
      </c>
      <c r="J21" s="29" t="n">
        <f aca="false">IF(A21=MOIS_TAXES,TAXES_URBA,0)</f>
        <v>0</v>
      </c>
      <c r="K21" s="29" t="n">
        <f aca="false">IF(AND(A21&gt;=MOIS_TRAVAUX,A21&lt;=MOIS_ACHEVEMENT),TRAVAUX_HT/DUREE_CHANTIER,0)</f>
        <v>119860</v>
      </c>
      <c r="L21" s="29" t="n">
        <f aca="false">(SDP*COUT_M2+VRD)*HONORAIRES*IF(MOIS_TRAVAUX&gt;1,IF(A21&lt;MOIS_TRAVAUX,HONO_AVANT/(MOIS_TRAVAUX-1),IF(A21&lt;=MOIS_ACHEVEMENT,(1-HONO_AVANT)/DUREE_CHANTIER,0)),IF(A21&lt;=MOIS_ACHEVEMENT,1/DUREE_CHANTIER,0))</f>
        <v>10084.375</v>
      </c>
      <c r="M21" s="29" t="n">
        <f aca="false">IF(A21=MOIS_TRAVAUX,(SDP*COUT_M2+VRD)*ASSURANCES,0)</f>
        <v>0</v>
      </c>
      <c r="N21" s="29" t="n">
        <f aca="false">CA_HT*COMMERCIALISATION*(D21-D20)+IF(AND(A21&gt;=MOIS_VENTES,A21&lt;=MOIS_VENTES+DUREE_VENTES),PUBLICITE/(DUREE_VENTES+1),0)</f>
        <v>11899.1666666667</v>
      </c>
      <c r="O21" s="29" t="n">
        <f aca="false">IF(A21&lt;=MOIS_LIVRAISON,CA_HT*GESTION/MOIS_LIVRAISON,0)</f>
        <v>9465.27777777778</v>
      </c>
      <c r="P21" s="29" t="n">
        <f aca="false">IF(A21=MOIS_TERRAIN,FRAIS_DOSSIER,0)+IF(AND(A21&gt;=MOIS_TRAVAUX,A21&lt;=MOIS_ACHEVEMENT),GFA_MONTANT*GFA_TAUX/12,0)</f>
        <v>2250</v>
      </c>
      <c r="Q21" s="29" t="n">
        <f aca="false">(K21+L21+N21)*TVA_ACHATS</f>
        <v>28368.7083333333</v>
      </c>
      <c r="R21" s="29" t="n">
        <f aca="false">G21*TVA/(1+TVA)</f>
        <v>31803.3333333333</v>
      </c>
      <c r="S21" s="29" t="n">
        <f aca="false">MAX(0,R21-Q21-T20)</f>
        <v>3434.625</v>
      </c>
      <c r="T21" s="29" t="n">
        <f aca="false">MAX(0,T20+Q21-R21)</f>
        <v>0</v>
      </c>
      <c r="U21" s="29" t="n">
        <f aca="false">S20</f>
        <v>3434.625</v>
      </c>
      <c r="V21" s="29" t="n">
        <f aca="false">SUM(I21:Q21)+U21</f>
        <v>185362.152777778</v>
      </c>
      <c r="W21" s="29" t="n">
        <f aca="false">ROUND(AA20*TAUX_CREDIT/12,2)</f>
        <v>0</v>
      </c>
      <c r="X21" s="29" t="n">
        <f aca="false">G21-V21-W21</f>
        <v>5457.84722222222</v>
      </c>
      <c r="Y21" s="29" t="n">
        <f aca="false">MAX(0,MIN(TRESO_MIN-(AB20+H21+X21),PLAFOND_CREDIT-AA20))</f>
        <v>0</v>
      </c>
      <c r="Z21" s="29" t="n">
        <f aca="false">MIN(AA20,MAX(0,AB20+H21+X21-TRESO_MIN))</f>
        <v>0</v>
      </c>
      <c r="AA21" s="30" t="n">
        <f aca="false">AA20+Y21-Z21</f>
        <v>0</v>
      </c>
      <c r="AB21" s="30" t="n">
        <f aca="false">AB20+H21+X21+Y21-Z21</f>
        <v>331044.275555556</v>
      </c>
      <c r="AC21" s="30" t="n">
        <f aca="false">AC20+X21</f>
        <v>-318955.724444444</v>
      </c>
      <c r="AD21" s="31" t="str">
        <f aca="false">IF(AC21=MIN($AC$6:$AC$53),"◀ POINT BAS","")</f>
        <v/>
      </c>
    </row>
    <row r="22" customFormat="false" ht="15" hidden="false" customHeight="false" outlineLevel="0" collapsed="false">
      <c r="A22" s="27" t="n">
        <v>17</v>
      </c>
      <c r="B22" s="28" t="n">
        <f aca="false">EDATE(DEBUT_PLAN,A22-1)</f>
        <v>46508</v>
      </c>
      <c r="C22" s="22" t="n">
        <f aca="false">MAX(0,MIN(1,(A22-MOIS_TRAVAUX+1)/DUREE_CHANTIER))</f>
        <v>0.7</v>
      </c>
      <c r="D22" s="22" t="n">
        <f aca="false">IF(A22&lt;MOIS_VENTES,0,MIN(1,PRECOMMERCIALISATION+(1-PRECOMMERCIALISATION)*IF(DUREE_VENTES&gt;0,(A22-MOIS_VENTES)/DUREE_VENTES,1)))</f>
        <v>0.92</v>
      </c>
      <c r="E22" s="22" t="n">
        <f aca="false">IF(A22&gt;=MOIS_LIVRAISON,APPEL_LIVRAISON,IF(C22&gt;=1,APPEL_ACHEVEMENT,IF(C22&gt;=SEUIL_HORS_EAU,APPEL_HORS_EAU,IF(C22&gt;=SEUIL_FONDATIONS,APPEL_FONDATIONS,0))))</f>
        <v>0.7</v>
      </c>
      <c r="F22" s="29" t="n">
        <f aca="false">ROUND(CA_TTC*D22*E22,2)</f>
        <v>4388860</v>
      </c>
      <c r="G22" s="29" t="n">
        <f aca="false">F22-F21</f>
        <v>190820</v>
      </c>
      <c r="H22" s="29" t="n">
        <f aca="false">IF(A22=1,FONDS_PROPRES,0)</f>
        <v>0</v>
      </c>
      <c r="I22" s="29" t="n">
        <f aca="false">IF(A22=MOIS_TERRAIN,PRIX_TERRAIN*(1+FRAIS_ACQ),0)</f>
        <v>0</v>
      </c>
      <c r="J22" s="29" t="n">
        <f aca="false">IF(A22=MOIS_TAXES,TAXES_URBA,0)</f>
        <v>0</v>
      </c>
      <c r="K22" s="29" t="n">
        <f aca="false">IF(AND(A22&gt;=MOIS_TRAVAUX,A22&lt;=MOIS_ACHEVEMENT),TRAVAUX_HT/DUREE_CHANTIER,0)</f>
        <v>119860</v>
      </c>
      <c r="L22" s="29" t="n">
        <f aca="false">(SDP*COUT_M2+VRD)*HONORAIRES*IF(MOIS_TRAVAUX&gt;1,IF(A22&lt;MOIS_TRAVAUX,HONO_AVANT/(MOIS_TRAVAUX-1),IF(A22&lt;=MOIS_ACHEVEMENT,(1-HONO_AVANT)/DUREE_CHANTIER,0)),IF(A22&lt;=MOIS_ACHEVEMENT,1/DUREE_CHANTIER,0))</f>
        <v>10084.375</v>
      </c>
      <c r="M22" s="29" t="n">
        <f aca="false">IF(A22=MOIS_TRAVAUX,(SDP*COUT_M2+VRD)*ASSURANCES,0)</f>
        <v>0</v>
      </c>
      <c r="N22" s="29" t="n">
        <f aca="false">CA_HT*COMMERCIALISATION*(D22-D21)+IF(AND(A22&gt;=MOIS_VENTES,A22&lt;=MOIS_VENTES+DUREE_VENTES),PUBLICITE/(DUREE_VENTES+1),0)</f>
        <v>11899.1666666667</v>
      </c>
      <c r="O22" s="29" t="n">
        <f aca="false">IF(A22&lt;=MOIS_LIVRAISON,CA_HT*GESTION/MOIS_LIVRAISON,0)</f>
        <v>9465.27777777778</v>
      </c>
      <c r="P22" s="29" t="n">
        <f aca="false">IF(A22=MOIS_TERRAIN,FRAIS_DOSSIER,0)+IF(AND(A22&gt;=MOIS_TRAVAUX,A22&lt;=MOIS_ACHEVEMENT),GFA_MONTANT*GFA_TAUX/12,0)</f>
        <v>2250</v>
      </c>
      <c r="Q22" s="29" t="n">
        <f aca="false">(K22+L22+N22)*TVA_ACHATS</f>
        <v>28368.7083333333</v>
      </c>
      <c r="R22" s="29" t="n">
        <f aca="false">G22*TVA/(1+TVA)</f>
        <v>31803.3333333333</v>
      </c>
      <c r="S22" s="29" t="n">
        <f aca="false">MAX(0,R22-Q22-T21)</f>
        <v>3434.625</v>
      </c>
      <c r="T22" s="29" t="n">
        <f aca="false">MAX(0,T21+Q22-R22)</f>
        <v>0</v>
      </c>
      <c r="U22" s="29" t="n">
        <f aca="false">S21</f>
        <v>3434.625</v>
      </c>
      <c r="V22" s="29" t="n">
        <f aca="false">SUM(I22:Q22)+U22</f>
        <v>185362.152777778</v>
      </c>
      <c r="W22" s="29" t="n">
        <f aca="false">ROUND(AA21*TAUX_CREDIT/12,2)</f>
        <v>0</v>
      </c>
      <c r="X22" s="29" t="n">
        <f aca="false">G22-V22-W22</f>
        <v>5457.84722222222</v>
      </c>
      <c r="Y22" s="29" t="n">
        <f aca="false">MAX(0,MIN(TRESO_MIN-(AB21+H22+X22),PLAFOND_CREDIT-AA21))</f>
        <v>0</v>
      </c>
      <c r="Z22" s="29" t="n">
        <f aca="false">MIN(AA21,MAX(0,AB21+H22+X22-TRESO_MIN))</f>
        <v>0</v>
      </c>
      <c r="AA22" s="30" t="n">
        <f aca="false">AA21+Y22-Z22</f>
        <v>0</v>
      </c>
      <c r="AB22" s="30" t="n">
        <f aca="false">AB21+H22+X22+Y22-Z22</f>
        <v>336502.122777778</v>
      </c>
      <c r="AC22" s="30" t="n">
        <f aca="false">AC21+X22</f>
        <v>-313497.877222222</v>
      </c>
      <c r="AD22" s="31" t="str">
        <f aca="false">IF(AC22=MIN($AC$6:$AC$53),"◀ POINT BAS","")</f>
        <v/>
      </c>
    </row>
    <row r="23" customFormat="false" ht="15" hidden="false" customHeight="false" outlineLevel="0" collapsed="false">
      <c r="A23" s="27" t="n">
        <v>18</v>
      </c>
      <c r="B23" s="28" t="n">
        <f aca="false">EDATE(DEBUT_PLAN,A23-1)</f>
        <v>46539</v>
      </c>
      <c r="C23" s="22" t="n">
        <f aca="false">MAX(0,MIN(1,(A23-MOIS_TRAVAUX+1)/DUREE_CHANTIER))</f>
        <v>0.75</v>
      </c>
      <c r="D23" s="22" t="n">
        <f aca="false">IF(A23&lt;MOIS_VENTES,0,MIN(1,PRECOMMERCIALISATION+(1-PRECOMMERCIALISATION)*IF(DUREE_VENTES&gt;0,(A23-MOIS_VENTES)/DUREE_VENTES,1)))</f>
        <v>0.96</v>
      </c>
      <c r="E23" s="22" t="n">
        <f aca="false">IF(A23&gt;=MOIS_LIVRAISON,APPEL_LIVRAISON,IF(C23&gt;=1,APPEL_ACHEVEMENT,IF(C23&gt;=SEUIL_HORS_EAU,APPEL_HORS_EAU,IF(C23&gt;=SEUIL_FONDATIONS,APPEL_FONDATIONS,0))))</f>
        <v>0.7</v>
      </c>
      <c r="F23" s="29" t="n">
        <f aca="false">ROUND(CA_TTC*D23*E23,2)</f>
        <v>4579680</v>
      </c>
      <c r="G23" s="29" t="n">
        <f aca="false">F23-F22</f>
        <v>190820</v>
      </c>
      <c r="H23" s="29" t="n">
        <f aca="false">IF(A23=1,FONDS_PROPRES,0)</f>
        <v>0</v>
      </c>
      <c r="I23" s="29" t="n">
        <f aca="false">IF(A23=MOIS_TERRAIN,PRIX_TERRAIN*(1+FRAIS_ACQ),0)</f>
        <v>0</v>
      </c>
      <c r="J23" s="29" t="n">
        <f aca="false">IF(A23=MOIS_TAXES,TAXES_URBA,0)</f>
        <v>0</v>
      </c>
      <c r="K23" s="29" t="n">
        <f aca="false">IF(AND(A23&gt;=MOIS_TRAVAUX,A23&lt;=MOIS_ACHEVEMENT),TRAVAUX_HT/DUREE_CHANTIER,0)</f>
        <v>119860</v>
      </c>
      <c r="L23" s="29" t="n">
        <f aca="false">(SDP*COUT_M2+VRD)*HONORAIRES*IF(MOIS_TRAVAUX&gt;1,IF(A23&lt;MOIS_TRAVAUX,HONO_AVANT/(MOIS_TRAVAUX-1),IF(A23&lt;=MOIS_ACHEVEMENT,(1-HONO_AVANT)/DUREE_CHANTIER,0)),IF(A23&lt;=MOIS_ACHEVEMENT,1/DUREE_CHANTIER,0))</f>
        <v>10084.375</v>
      </c>
      <c r="M23" s="29" t="n">
        <f aca="false">IF(A23=MOIS_TRAVAUX,(SDP*COUT_M2+VRD)*ASSURANCES,0)</f>
        <v>0</v>
      </c>
      <c r="N23" s="29" t="n">
        <f aca="false">CA_HT*COMMERCIALISATION*(D23-D22)+IF(AND(A23&gt;=MOIS_VENTES,A23&lt;=MOIS_VENTES+DUREE_VENTES),PUBLICITE/(DUREE_VENTES+1),0)</f>
        <v>11899.1666666667</v>
      </c>
      <c r="O23" s="29" t="n">
        <f aca="false">IF(A23&lt;=MOIS_LIVRAISON,CA_HT*GESTION/MOIS_LIVRAISON,0)</f>
        <v>9465.27777777778</v>
      </c>
      <c r="P23" s="29" t="n">
        <f aca="false">IF(A23=MOIS_TERRAIN,FRAIS_DOSSIER,0)+IF(AND(A23&gt;=MOIS_TRAVAUX,A23&lt;=MOIS_ACHEVEMENT),GFA_MONTANT*GFA_TAUX/12,0)</f>
        <v>2250</v>
      </c>
      <c r="Q23" s="29" t="n">
        <f aca="false">(K23+L23+N23)*TVA_ACHATS</f>
        <v>28368.7083333333</v>
      </c>
      <c r="R23" s="29" t="n">
        <f aca="false">G23*TVA/(1+TVA)</f>
        <v>31803.3333333333</v>
      </c>
      <c r="S23" s="29" t="n">
        <f aca="false">MAX(0,R23-Q23-T22)</f>
        <v>3434.625</v>
      </c>
      <c r="T23" s="29" t="n">
        <f aca="false">MAX(0,T22+Q23-R23)</f>
        <v>0</v>
      </c>
      <c r="U23" s="29" t="n">
        <f aca="false">S22</f>
        <v>3434.625</v>
      </c>
      <c r="V23" s="29" t="n">
        <f aca="false">SUM(I23:Q23)+U23</f>
        <v>185362.152777778</v>
      </c>
      <c r="W23" s="29" t="n">
        <f aca="false">ROUND(AA22*TAUX_CREDIT/12,2)</f>
        <v>0</v>
      </c>
      <c r="X23" s="29" t="n">
        <f aca="false">G23-V23-W23</f>
        <v>5457.84722222222</v>
      </c>
      <c r="Y23" s="29" t="n">
        <f aca="false">MAX(0,MIN(TRESO_MIN-(AB22+H23+X23),PLAFOND_CREDIT-AA22))</f>
        <v>0</v>
      </c>
      <c r="Z23" s="29" t="n">
        <f aca="false">MIN(AA22,MAX(0,AB22+H23+X23-TRESO_MIN))</f>
        <v>0</v>
      </c>
      <c r="AA23" s="30" t="n">
        <f aca="false">AA22+Y23-Z23</f>
        <v>0</v>
      </c>
      <c r="AB23" s="30" t="n">
        <f aca="false">AB22+H23+X23+Y23-Z23</f>
        <v>341959.97</v>
      </c>
      <c r="AC23" s="30" t="n">
        <f aca="false">AC22+X23</f>
        <v>-308040.03</v>
      </c>
      <c r="AD23" s="31" t="str">
        <f aca="false">IF(AC23=MIN($AC$6:$AC$53),"◀ POINT BAS","")</f>
        <v/>
      </c>
    </row>
    <row r="24" customFormat="false" ht="15" hidden="false" customHeight="false" outlineLevel="0" collapsed="false">
      <c r="A24" s="27" t="n">
        <v>19</v>
      </c>
      <c r="B24" s="28" t="n">
        <f aca="false">EDATE(DEBUT_PLAN,A24-1)</f>
        <v>46569</v>
      </c>
      <c r="C24" s="22" t="n">
        <f aca="false">MAX(0,MIN(1,(A24-MOIS_TRAVAUX+1)/DUREE_CHANTIER))</f>
        <v>0.8</v>
      </c>
      <c r="D24" s="22" t="n">
        <f aca="false">IF(A24&lt;MOIS_VENTES,0,MIN(1,PRECOMMERCIALISATION+(1-PRECOMMERCIALISATION)*IF(DUREE_VENTES&gt;0,(A24-MOIS_VENTES)/DUREE_VENTES,1)))</f>
        <v>1</v>
      </c>
      <c r="E24" s="22" t="n">
        <f aca="false">IF(A24&gt;=MOIS_LIVRAISON,APPEL_LIVRAISON,IF(C24&gt;=1,APPEL_ACHEVEMENT,IF(C24&gt;=SEUIL_HORS_EAU,APPEL_HORS_EAU,IF(C24&gt;=SEUIL_FONDATIONS,APPEL_FONDATIONS,0))))</f>
        <v>0.7</v>
      </c>
      <c r="F24" s="29" t="n">
        <f aca="false">ROUND(CA_TTC*D24*E24,2)</f>
        <v>4770500</v>
      </c>
      <c r="G24" s="29" t="n">
        <f aca="false">F24-F23</f>
        <v>190820</v>
      </c>
      <c r="H24" s="29" t="n">
        <f aca="false">IF(A24=1,FONDS_PROPRES,0)</f>
        <v>0</v>
      </c>
      <c r="I24" s="29" t="n">
        <f aca="false">IF(A24=MOIS_TERRAIN,PRIX_TERRAIN*(1+FRAIS_ACQ),0)</f>
        <v>0</v>
      </c>
      <c r="J24" s="29" t="n">
        <f aca="false">IF(A24=MOIS_TAXES,TAXES_URBA,0)</f>
        <v>0</v>
      </c>
      <c r="K24" s="29" t="n">
        <f aca="false">IF(AND(A24&gt;=MOIS_TRAVAUX,A24&lt;=MOIS_ACHEVEMENT),TRAVAUX_HT/DUREE_CHANTIER,0)</f>
        <v>119860</v>
      </c>
      <c r="L24" s="29" t="n">
        <f aca="false">(SDP*COUT_M2+VRD)*HONORAIRES*IF(MOIS_TRAVAUX&gt;1,IF(A24&lt;MOIS_TRAVAUX,HONO_AVANT/(MOIS_TRAVAUX-1),IF(A24&lt;=MOIS_ACHEVEMENT,(1-HONO_AVANT)/DUREE_CHANTIER,0)),IF(A24&lt;=MOIS_ACHEVEMENT,1/DUREE_CHANTIER,0))</f>
        <v>10084.375</v>
      </c>
      <c r="M24" s="29" t="n">
        <f aca="false">IF(A24=MOIS_TRAVAUX,(SDP*COUT_M2+VRD)*ASSURANCES,0)</f>
        <v>0</v>
      </c>
      <c r="N24" s="29" t="n">
        <f aca="false">CA_HT*COMMERCIALISATION*(D24-D23)+IF(AND(A24&gt;=MOIS_VENTES,A24&lt;=MOIS_VENTES+DUREE_VENTES),PUBLICITE/(DUREE_VENTES+1),0)</f>
        <v>11899.1666666667</v>
      </c>
      <c r="O24" s="29" t="n">
        <f aca="false">IF(A24&lt;=MOIS_LIVRAISON,CA_HT*GESTION/MOIS_LIVRAISON,0)</f>
        <v>9465.27777777778</v>
      </c>
      <c r="P24" s="29" t="n">
        <f aca="false">IF(A24=MOIS_TERRAIN,FRAIS_DOSSIER,0)+IF(AND(A24&gt;=MOIS_TRAVAUX,A24&lt;=MOIS_ACHEVEMENT),GFA_MONTANT*GFA_TAUX/12,0)</f>
        <v>2250</v>
      </c>
      <c r="Q24" s="29" t="n">
        <f aca="false">(K24+L24+N24)*TVA_ACHATS</f>
        <v>28368.7083333333</v>
      </c>
      <c r="R24" s="29" t="n">
        <f aca="false">G24*TVA/(1+TVA)</f>
        <v>31803.3333333333</v>
      </c>
      <c r="S24" s="29" t="n">
        <f aca="false">MAX(0,R24-Q24-T23)</f>
        <v>3434.625</v>
      </c>
      <c r="T24" s="29" t="n">
        <f aca="false">MAX(0,T23+Q24-R24)</f>
        <v>0</v>
      </c>
      <c r="U24" s="29" t="n">
        <f aca="false">S23</f>
        <v>3434.625</v>
      </c>
      <c r="V24" s="29" t="n">
        <f aca="false">SUM(I24:Q24)+U24</f>
        <v>185362.152777778</v>
      </c>
      <c r="W24" s="29" t="n">
        <f aca="false">ROUND(AA23*TAUX_CREDIT/12,2)</f>
        <v>0</v>
      </c>
      <c r="X24" s="29" t="n">
        <f aca="false">G24-V24-W24</f>
        <v>5457.84722222222</v>
      </c>
      <c r="Y24" s="29" t="n">
        <f aca="false">MAX(0,MIN(TRESO_MIN-(AB23+H24+X24),PLAFOND_CREDIT-AA23))</f>
        <v>0</v>
      </c>
      <c r="Z24" s="29" t="n">
        <f aca="false">MIN(AA23,MAX(0,AB23+H24+X24-TRESO_MIN))</f>
        <v>0</v>
      </c>
      <c r="AA24" s="30" t="n">
        <f aca="false">AA23+Y24-Z24</f>
        <v>0</v>
      </c>
      <c r="AB24" s="30" t="n">
        <f aca="false">AB23+H24+X24+Y24-Z24</f>
        <v>347417.817222222</v>
      </c>
      <c r="AC24" s="30" t="n">
        <f aca="false">AC23+X24</f>
        <v>-302582.182777778</v>
      </c>
      <c r="AD24" s="31" t="str">
        <f aca="false">IF(AC24=MIN($AC$6:$AC$53),"◀ POINT BAS","")</f>
        <v/>
      </c>
    </row>
    <row r="25" customFormat="false" ht="15" hidden="false" customHeight="false" outlineLevel="0" collapsed="false">
      <c r="A25" s="27" t="n">
        <v>20</v>
      </c>
      <c r="B25" s="28" t="n">
        <f aca="false">EDATE(DEBUT_PLAN,A25-1)</f>
        <v>46600</v>
      </c>
      <c r="C25" s="22" t="n">
        <f aca="false">MAX(0,MIN(1,(A25-MOIS_TRAVAUX+1)/DUREE_CHANTIER))</f>
        <v>0.85</v>
      </c>
      <c r="D25" s="22" t="n">
        <f aca="false">IF(A25&lt;MOIS_VENTES,0,MIN(1,PRECOMMERCIALISATION+(1-PRECOMMERCIALISATION)*IF(DUREE_VENTES&gt;0,(A25-MOIS_VENTES)/DUREE_VENTES,1)))</f>
        <v>1</v>
      </c>
      <c r="E25" s="22" t="n">
        <f aca="false">IF(A25&gt;=MOIS_LIVRAISON,APPEL_LIVRAISON,IF(C25&gt;=1,APPEL_ACHEVEMENT,IF(C25&gt;=SEUIL_HORS_EAU,APPEL_HORS_EAU,IF(C25&gt;=SEUIL_FONDATIONS,APPEL_FONDATIONS,0))))</f>
        <v>0.7</v>
      </c>
      <c r="F25" s="29" t="n">
        <f aca="false">ROUND(CA_TTC*D25*E25,2)</f>
        <v>4770500</v>
      </c>
      <c r="G25" s="29" t="n">
        <f aca="false">F25-F24</f>
        <v>0</v>
      </c>
      <c r="H25" s="29" t="n">
        <f aca="false">IF(A25=1,FONDS_PROPRES,0)</f>
        <v>0</v>
      </c>
      <c r="I25" s="29" t="n">
        <f aca="false">IF(A25=MOIS_TERRAIN,PRIX_TERRAIN*(1+FRAIS_ACQ),0)</f>
        <v>0</v>
      </c>
      <c r="J25" s="29" t="n">
        <f aca="false">IF(A25=MOIS_TAXES,TAXES_URBA,0)</f>
        <v>0</v>
      </c>
      <c r="K25" s="29" t="n">
        <f aca="false">IF(AND(A25&gt;=MOIS_TRAVAUX,A25&lt;=MOIS_ACHEVEMENT),TRAVAUX_HT/DUREE_CHANTIER,0)</f>
        <v>119860</v>
      </c>
      <c r="L25" s="29" t="n">
        <f aca="false">(SDP*COUT_M2+VRD)*HONORAIRES*IF(MOIS_TRAVAUX&gt;1,IF(A25&lt;MOIS_TRAVAUX,HONO_AVANT/(MOIS_TRAVAUX-1),IF(A25&lt;=MOIS_ACHEVEMENT,(1-HONO_AVANT)/DUREE_CHANTIER,0)),IF(A25&lt;=MOIS_ACHEVEMENT,1/DUREE_CHANTIER,0))</f>
        <v>10084.375</v>
      </c>
      <c r="M25" s="29" t="n">
        <f aca="false">IF(A25=MOIS_TRAVAUX,(SDP*COUT_M2+VRD)*ASSURANCES,0)</f>
        <v>0</v>
      </c>
      <c r="N25" s="29" t="n">
        <f aca="false">CA_HT*COMMERCIALISATION*(D25-D24)+IF(AND(A25&gt;=MOIS_VENTES,A25&lt;=MOIS_VENTES+DUREE_VENTES),PUBLICITE/(DUREE_VENTES+1),0)</f>
        <v>0</v>
      </c>
      <c r="O25" s="29" t="n">
        <f aca="false">IF(A25&lt;=MOIS_LIVRAISON,CA_HT*GESTION/MOIS_LIVRAISON,0)</f>
        <v>9465.27777777778</v>
      </c>
      <c r="P25" s="29" t="n">
        <f aca="false">IF(A25=MOIS_TERRAIN,FRAIS_DOSSIER,0)+IF(AND(A25&gt;=MOIS_TRAVAUX,A25&lt;=MOIS_ACHEVEMENT),GFA_MONTANT*GFA_TAUX/12,0)</f>
        <v>2250</v>
      </c>
      <c r="Q25" s="29" t="n">
        <f aca="false">(K25+L25+N25)*TVA_ACHATS</f>
        <v>25988.875</v>
      </c>
      <c r="R25" s="29" t="n">
        <f aca="false">G25*TVA/(1+TVA)</f>
        <v>0</v>
      </c>
      <c r="S25" s="29" t="n">
        <f aca="false">MAX(0,R25-Q25-T24)</f>
        <v>0</v>
      </c>
      <c r="T25" s="29" t="n">
        <f aca="false">MAX(0,T24+Q25-R25)</f>
        <v>25988.875</v>
      </c>
      <c r="U25" s="29" t="n">
        <f aca="false">S24</f>
        <v>3434.625</v>
      </c>
      <c r="V25" s="29" t="n">
        <f aca="false">SUM(I25:Q25)+U25</f>
        <v>171083.152777778</v>
      </c>
      <c r="W25" s="29" t="n">
        <f aca="false">ROUND(AA24*TAUX_CREDIT/12,2)</f>
        <v>0</v>
      </c>
      <c r="X25" s="29" t="n">
        <f aca="false">G25-V25-W25</f>
        <v>-171083.152777778</v>
      </c>
      <c r="Y25" s="29" t="n">
        <f aca="false">MAX(0,MIN(TRESO_MIN-(AB24+H25+X25),PLAFOND_CREDIT-AA24))</f>
        <v>0</v>
      </c>
      <c r="Z25" s="29" t="n">
        <f aca="false">MIN(AA24,MAX(0,AB24+H25+X25-TRESO_MIN))</f>
        <v>0</v>
      </c>
      <c r="AA25" s="30" t="n">
        <f aca="false">AA24+Y25-Z25</f>
        <v>0</v>
      </c>
      <c r="AB25" s="30" t="n">
        <f aca="false">AB24+H25+X25+Y25-Z25</f>
        <v>176334.664444445</v>
      </c>
      <c r="AC25" s="30" t="n">
        <f aca="false">AC24+X25</f>
        <v>-473665.335555555</v>
      </c>
      <c r="AD25" s="31" t="str">
        <f aca="false">IF(AC25=MIN($AC$6:$AC$53),"◀ POINT BAS","")</f>
        <v/>
      </c>
    </row>
    <row r="26" customFormat="false" ht="15" hidden="false" customHeight="false" outlineLevel="0" collapsed="false">
      <c r="A26" s="27" t="n">
        <v>21</v>
      </c>
      <c r="B26" s="28" t="n">
        <f aca="false">EDATE(DEBUT_PLAN,A26-1)</f>
        <v>46631</v>
      </c>
      <c r="C26" s="22" t="n">
        <f aca="false">MAX(0,MIN(1,(A26-MOIS_TRAVAUX+1)/DUREE_CHANTIER))</f>
        <v>0.9</v>
      </c>
      <c r="D26" s="22" t="n">
        <f aca="false">IF(A26&lt;MOIS_VENTES,0,MIN(1,PRECOMMERCIALISATION+(1-PRECOMMERCIALISATION)*IF(DUREE_VENTES&gt;0,(A26-MOIS_VENTES)/DUREE_VENTES,1)))</f>
        <v>1</v>
      </c>
      <c r="E26" s="22" t="n">
        <f aca="false">IF(A26&gt;=MOIS_LIVRAISON,APPEL_LIVRAISON,IF(C26&gt;=1,APPEL_ACHEVEMENT,IF(C26&gt;=SEUIL_HORS_EAU,APPEL_HORS_EAU,IF(C26&gt;=SEUIL_FONDATIONS,APPEL_FONDATIONS,0))))</f>
        <v>0.7</v>
      </c>
      <c r="F26" s="29" t="n">
        <f aca="false">ROUND(CA_TTC*D26*E26,2)</f>
        <v>4770500</v>
      </c>
      <c r="G26" s="29" t="n">
        <f aca="false">F26-F25</f>
        <v>0</v>
      </c>
      <c r="H26" s="29" t="n">
        <f aca="false">IF(A26=1,FONDS_PROPRES,0)</f>
        <v>0</v>
      </c>
      <c r="I26" s="29" t="n">
        <f aca="false">IF(A26=MOIS_TERRAIN,PRIX_TERRAIN*(1+FRAIS_ACQ),0)</f>
        <v>0</v>
      </c>
      <c r="J26" s="29" t="n">
        <f aca="false">IF(A26=MOIS_TAXES,TAXES_URBA,0)</f>
        <v>0</v>
      </c>
      <c r="K26" s="29" t="n">
        <f aca="false">IF(AND(A26&gt;=MOIS_TRAVAUX,A26&lt;=MOIS_ACHEVEMENT),TRAVAUX_HT/DUREE_CHANTIER,0)</f>
        <v>119860</v>
      </c>
      <c r="L26" s="29" t="n">
        <f aca="false">(SDP*COUT_M2+VRD)*HONORAIRES*IF(MOIS_TRAVAUX&gt;1,IF(A26&lt;MOIS_TRAVAUX,HONO_AVANT/(MOIS_TRAVAUX-1),IF(A26&lt;=MOIS_ACHEVEMENT,(1-HONO_AVANT)/DUREE_CHANTIER,0)),IF(A26&lt;=MOIS_ACHEVEMENT,1/DUREE_CHANTIER,0))</f>
        <v>10084.375</v>
      </c>
      <c r="M26" s="29" t="n">
        <f aca="false">IF(A26=MOIS_TRAVAUX,(SDP*COUT_M2+VRD)*ASSURANCES,0)</f>
        <v>0</v>
      </c>
      <c r="N26" s="29" t="n">
        <f aca="false">CA_HT*COMMERCIALISATION*(D26-D25)+IF(AND(A26&gt;=MOIS_VENTES,A26&lt;=MOIS_VENTES+DUREE_VENTES),PUBLICITE/(DUREE_VENTES+1),0)</f>
        <v>0</v>
      </c>
      <c r="O26" s="29" t="n">
        <f aca="false">IF(A26&lt;=MOIS_LIVRAISON,CA_HT*GESTION/MOIS_LIVRAISON,0)</f>
        <v>9465.27777777778</v>
      </c>
      <c r="P26" s="29" t="n">
        <f aca="false">IF(A26=MOIS_TERRAIN,FRAIS_DOSSIER,0)+IF(AND(A26&gt;=MOIS_TRAVAUX,A26&lt;=MOIS_ACHEVEMENT),GFA_MONTANT*GFA_TAUX/12,0)</f>
        <v>2250</v>
      </c>
      <c r="Q26" s="29" t="n">
        <f aca="false">(K26+L26+N26)*TVA_ACHATS</f>
        <v>25988.875</v>
      </c>
      <c r="R26" s="29" t="n">
        <f aca="false">G26*TVA/(1+TVA)</f>
        <v>0</v>
      </c>
      <c r="S26" s="29" t="n">
        <f aca="false">MAX(0,R26-Q26-T25)</f>
        <v>0</v>
      </c>
      <c r="T26" s="29" t="n">
        <f aca="false">MAX(0,T25+Q26-R26)</f>
        <v>51977.75</v>
      </c>
      <c r="U26" s="29" t="n">
        <f aca="false">S25</f>
        <v>0</v>
      </c>
      <c r="V26" s="29" t="n">
        <f aca="false">SUM(I26:Q26)+U26</f>
        <v>167648.527777778</v>
      </c>
      <c r="W26" s="29" t="n">
        <f aca="false">ROUND(AA25*TAUX_CREDIT/12,2)</f>
        <v>0</v>
      </c>
      <c r="X26" s="29" t="n">
        <f aca="false">G26-V26-W26</f>
        <v>-167648.527777778</v>
      </c>
      <c r="Y26" s="29" t="n">
        <f aca="false">MAX(0,MIN(TRESO_MIN-(AB25+H26+X26),PLAFOND_CREDIT-AA25))</f>
        <v>41313.8633333331</v>
      </c>
      <c r="Z26" s="29" t="n">
        <f aca="false">MIN(AA25,MAX(0,AB25+H26+X26-TRESO_MIN))</f>
        <v>0</v>
      </c>
      <c r="AA26" s="30" t="n">
        <f aca="false">AA25+Y26-Z26</f>
        <v>41313.8633333331</v>
      </c>
      <c r="AB26" s="30" t="n">
        <f aca="false">AB25+H26+X26+Y26-Z26</f>
        <v>50000</v>
      </c>
      <c r="AC26" s="30" t="n">
        <f aca="false">AC25+X26</f>
        <v>-641313.863333333</v>
      </c>
      <c r="AD26" s="31" t="str">
        <f aca="false">IF(AC26=MIN($AC$6:$AC$53),"◀ POINT BAS","")</f>
        <v/>
      </c>
    </row>
    <row r="27" customFormat="false" ht="15" hidden="false" customHeight="false" outlineLevel="0" collapsed="false">
      <c r="A27" s="27" t="n">
        <v>22</v>
      </c>
      <c r="B27" s="28" t="n">
        <f aca="false">EDATE(DEBUT_PLAN,A27-1)</f>
        <v>46661</v>
      </c>
      <c r="C27" s="22" t="n">
        <f aca="false">MAX(0,MIN(1,(A27-MOIS_TRAVAUX+1)/DUREE_CHANTIER))</f>
        <v>0.95</v>
      </c>
      <c r="D27" s="22" t="n">
        <f aca="false">IF(A27&lt;MOIS_VENTES,0,MIN(1,PRECOMMERCIALISATION+(1-PRECOMMERCIALISATION)*IF(DUREE_VENTES&gt;0,(A27-MOIS_VENTES)/DUREE_VENTES,1)))</f>
        <v>1</v>
      </c>
      <c r="E27" s="22" t="n">
        <f aca="false">IF(A27&gt;=MOIS_LIVRAISON,APPEL_LIVRAISON,IF(C27&gt;=1,APPEL_ACHEVEMENT,IF(C27&gt;=SEUIL_HORS_EAU,APPEL_HORS_EAU,IF(C27&gt;=SEUIL_FONDATIONS,APPEL_FONDATIONS,0))))</f>
        <v>0.7</v>
      </c>
      <c r="F27" s="29" t="n">
        <f aca="false">ROUND(CA_TTC*D27*E27,2)</f>
        <v>4770500</v>
      </c>
      <c r="G27" s="29" t="n">
        <f aca="false">F27-F26</f>
        <v>0</v>
      </c>
      <c r="H27" s="29" t="n">
        <f aca="false">IF(A27=1,FONDS_PROPRES,0)</f>
        <v>0</v>
      </c>
      <c r="I27" s="29" t="n">
        <f aca="false">IF(A27=MOIS_TERRAIN,PRIX_TERRAIN*(1+FRAIS_ACQ),0)</f>
        <v>0</v>
      </c>
      <c r="J27" s="29" t="n">
        <f aca="false">IF(A27=MOIS_TAXES,TAXES_URBA,0)</f>
        <v>0</v>
      </c>
      <c r="K27" s="29" t="n">
        <f aca="false">IF(AND(A27&gt;=MOIS_TRAVAUX,A27&lt;=MOIS_ACHEVEMENT),TRAVAUX_HT/DUREE_CHANTIER,0)</f>
        <v>119860</v>
      </c>
      <c r="L27" s="29" t="n">
        <f aca="false">(SDP*COUT_M2+VRD)*HONORAIRES*IF(MOIS_TRAVAUX&gt;1,IF(A27&lt;MOIS_TRAVAUX,HONO_AVANT/(MOIS_TRAVAUX-1),IF(A27&lt;=MOIS_ACHEVEMENT,(1-HONO_AVANT)/DUREE_CHANTIER,0)),IF(A27&lt;=MOIS_ACHEVEMENT,1/DUREE_CHANTIER,0))</f>
        <v>10084.375</v>
      </c>
      <c r="M27" s="29" t="n">
        <f aca="false">IF(A27=MOIS_TRAVAUX,(SDP*COUT_M2+VRD)*ASSURANCES,0)</f>
        <v>0</v>
      </c>
      <c r="N27" s="29" t="n">
        <f aca="false">CA_HT*COMMERCIALISATION*(D27-D26)+IF(AND(A27&gt;=MOIS_VENTES,A27&lt;=MOIS_VENTES+DUREE_VENTES),PUBLICITE/(DUREE_VENTES+1),0)</f>
        <v>0</v>
      </c>
      <c r="O27" s="29" t="n">
        <f aca="false">IF(A27&lt;=MOIS_LIVRAISON,CA_HT*GESTION/MOIS_LIVRAISON,0)</f>
        <v>9465.27777777778</v>
      </c>
      <c r="P27" s="29" t="n">
        <f aca="false">IF(A27=MOIS_TERRAIN,FRAIS_DOSSIER,0)+IF(AND(A27&gt;=MOIS_TRAVAUX,A27&lt;=MOIS_ACHEVEMENT),GFA_MONTANT*GFA_TAUX/12,0)</f>
        <v>2250</v>
      </c>
      <c r="Q27" s="29" t="n">
        <f aca="false">(K27+L27+N27)*TVA_ACHATS</f>
        <v>25988.875</v>
      </c>
      <c r="R27" s="29" t="n">
        <f aca="false">G27*TVA/(1+TVA)</f>
        <v>0</v>
      </c>
      <c r="S27" s="29" t="n">
        <f aca="false">MAX(0,R27-Q27-T26)</f>
        <v>0</v>
      </c>
      <c r="T27" s="29" t="n">
        <f aca="false">MAX(0,T26+Q27-R27)</f>
        <v>77966.625</v>
      </c>
      <c r="U27" s="29" t="n">
        <f aca="false">S26</f>
        <v>0</v>
      </c>
      <c r="V27" s="29" t="n">
        <f aca="false">SUM(I27:Q27)+U27</f>
        <v>167648.527777778</v>
      </c>
      <c r="W27" s="29" t="n">
        <f aca="false">ROUND(AA26*TAUX_CREDIT/12,2)</f>
        <v>172.14</v>
      </c>
      <c r="X27" s="29" t="n">
        <f aca="false">G27-V27-W27</f>
        <v>-167820.667777778</v>
      </c>
      <c r="Y27" s="29" t="n">
        <f aca="false">MAX(0,MIN(TRESO_MIN-(AB26+H27+X27),PLAFOND_CREDIT-AA26))</f>
        <v>167820.667777778</v>
      </c>
      <c r="Z27" s="29" t="n">
        <f aca="false">MIN(AA26,MAX(0,AB26+H27+X27-TRESO_MIN))</f>
        <v>0</v>
      </c>
      <c r="AA27" s="30" t="n">
        <f aca="false">AA26+Y27-Z27</f>
        <v>209134.531111111</v>
      </c>
      <c r="AB27" s="30" t="n">
        <f aca="false">AB26+H27+X27+Y27-Z27</f>
        <v>50000</v>
      </c>
      <c r="AC27" s="30" t="n">
        <f aca="false">AC26+X27</f>
        <v>-809134.531111111</v>
      </c>
      <c r="AD27" s="31" t="str">
        <f aca="false">IF(AC27=MIN($AC$6:$AC$53),"◀ POINT BAS","")</f>
        <v/>
      </c>
    </row>
    <row r="28" customFormat="false" ht="15" hidden="false" customHeight="false" outlineLevel="0" collapsed="false">
      <c r="A28" s="27" t="n">
        <v>23</v>
      </c>
      <c r="B28" s="28" t="n">
        <f aca="false">EDATE(DEBUT_PLAN,A28-1)</f>
        <v>46692</v>
      </c>
      <c r="C28" s="22" t="n">
        <f aca="false">MAX(0,MIN(1,(A28-MOIS_TRAVAUX+1)/DUREE_CHANTIER))</f>
        <v>1</v>
      </c>
      <c r="D28" s="22" t="n">
        <f aca="false">IF(A28&lt;MOIS_VENTES,0,MIN(1,PRECOMMERCIALISATION+(1-PRECOMMERCIALISATION)*IF(DUREE_VENTES&gt;0,(A28-MOIS_VENTES)/DUREE_VENTES,1)))</f>
        <v>1</v>
      </c>
      <c r="E28" s="22" t="n">
        <f aca="false">IF(A28&gt;=MOIS_LIVRAISON,APPEL_LIVRAISON,IF(C28&gt;=1,APPEL_ACHEVEMENT,IF(C28&gt;=SEUIL_HORS_EAU,APPEL_HORS_EAU,IF(C28&gt;=SEUIL_FONDATIONS,APPEL_FONDATIONS,0))))</f>
        <v>0.95</v>
      </c>
      <c r="F28" s="29" t="n">
        <f aca="false">ROUND(CA_TTC*D28*E28,2)</f>
        <v>6474250</v>
      </c>
      <c r="G28" s="29" t="n">
        <f aca="false">F28-F27</f>
        <v>1703750</v>
      </c>
      <c r="H28" s="29" t="n">
        <f aca="false">IF(A28=1,FONDS_PROPRES,0)</f>
        <v>0</v>
      </c>
      <c r="I28" s="29" t="n">
        <f aca="false">IF(A28=MOIS_TERRAIN,PRIX_TERRAIN*(1+FRAIS_ACQ),0)</f>
        <v>0</v>
      </c>
      <c r="J28" s="29" t="n">
        <f aca="false">IF(A28=MOIS_TAXES,TAXES_URBA,0)</f>
        <v>0</v>
      </c>
      <c r="K28" s="29" t="n">
        <f aca="false">IF(AND(A28&gt;=MOIS_TRAVAUX,A28&lt;=MOIS_ACHEVEMENT),TRAVAUX_HT/DUREE_CHANTIER,0)</f>
        <v>119860</v>
      </c>
      <c r="L28" s="29" t="n">
        <f aca="false">(SDP*COUT_M2+VRD)*HONORAIRES*IF(MOIS_TRAVAUX&gt;1,IF(A28&lt;MOIS_TRAVAUX,HONO_AVANT/(MOIS_TRAVAUX-1),IF(A28&lt;=MOIS_ACHEVEMENT,(1-HONO_AVANT)/DUREE_CHANTIER,0)),IF(A28&lt;=MOIS_ACHEVEMENT,1/DUREE_CHANTIER,0))</f>
        <v>10084.375</v>
      </c>
      <c r="M28" s="29" t="n">
        <f aca="false">IF(A28=MOIS_TRAVAUX,(SDP*COUT_M2+VRD)*ASSURANCES,0)</f>
        <v>0</v>
      </c>
      <c r="N28" s="29" t="n">
        <f aca="false">CA_HT*COMMERCIALISATION*(D28-D27)+IF(AND(A28&gt;=MOIS_VENTES,A28&lt;=MOIS_VENTES+DUREE_VENTES),PUBLICITE/(DUREE_VENTES+1),0)</f>
        <v>0</v>
      </c>
      <c r="O28" s="29" t="n">
        <f aca="false">IF(A28&lt;=MOIS_LIVRAISON,CA_HT*GESTION/MOIS_LIVRAISON,0)</f>
        <v>9465.27777777778</v>
      </c>
      <c r="P28" s="29" t="n">
        <f aca="false">IF(A28=MOIS_TERRAIN,FRAIS_DOSSIER,0)+IF(AND(A28&gt;=MOIS_TRAVAUX,A28&lt;=MOIS_ACHEVEMENT),GFA_MONTANT*GFA_TAUX/12,0)</f>
        <v>2250</v>
      </c>
      <c r="Q28" s="29" t="n">
        <f aca="false">(K28+L28+N28)*TVA_ACHATS</f>
        <v>25988.875</v>
      </c>
      <c r="R28" s="29" t="n">
        <f aca="false">G28*TVA/(1+TVA)</f>
        <v>283958.333333333</v>
      </c>
      <c r="S28" s="29" t="n">
        <f aca="false">MAX(0,R28-Q28-T27)</f>
        <v>180002.833333333</v>
      </c>
      <c r="T28" s="29" t="n">
        <f aca="false">MAX(0,T27+Q28-R28)</f>
        <v>0</v>
      </c>
      <c r="U28" s="29" t="n">
        <f aca="false">S27</f>
        <v>0</v>
      </c>
      <c r="V28" s="29" t="n">
        <f aca="false">SUM(I28:Q28)+U28</f>
        <v>167648.527777778</v>
      </c>
      <c r="W28" s="29" t="n">
        <f aca="false">ROUND(AA27*TAUX_CREDIT/12,2)</f>
        <v>871.39</v>
      </c>
      <c r="X28" s="29" t="n">
        <f aca="false">G28-V28-W28</f>
        <v>1535230.08222222</v>
      </c>
      <c r="Y28" s="29" t="n">
        <f aca="false">MAX(0,MIN(TRESO_MIN-(AB27+H28+X28),PLAFOND_CREDIT-AA27))</f>
        <v>0</v>
      </c>
      <c r="Z28" s="29" t="n">
        <f aca="false">MIN(AA27,MAX(0,AB27+H28+X28-TRESO_MIN))</f>
        <v>209134.531111111</v>
      </c>
      <c r="AA28" s="30" t="n">
        <f aca="false">AA27+Y28-Z28</f>
        <v>0</v>
      </c>
      <c r="AB28" s="30" t="n">
        <f aca="false">AB27+H28+X28+Y28-Z28</f>
        <v>1376095.55111111</v>
      </c>
      <c r="AC28" s="30" t="n">
        <f aca="false">AC27+X28</f>
        <v>726095.551111112</v>
      </c>
      <c r="AD28" s="31" t="str">
        <f aca="false">IF(AC28=MIN($AC$6:$AC$53),"◀ POINT BAS","")</f>
        <v/>
      </c>
    </row>
    <row r="29" customFormat="false" ht="15" hidden="false" customHeight="false" outlineLevel="0" collapsed="false">
      <c r="A29" s="27" t="n">
        <v>24</v>
      </c>
      <c r="B29" s="28" t="n">
        <f aca="false">EDATE(DEBUT_PLAN,A29-1)</f>
        <v>46722</v>
      </c>
      <c r="C29" s="22" t="n">
        <f aca="false">MAX(0,MIN(1,(A29-MOIS_TRAVAUX+1)/DUREE_CHANTIER))</f>
        <v>1</v>
      </c>
      <c r="D29" s="22" t="n">
        <f aca="false">IF(A29&lt;MOIS_VENTES,0,MIN(1,PRECOMMERCIALISATION+(1-PRECOMMERCIALISATION)*IF(DUREE_VENTES&gt;0,(A29-MOIS_VENTES)/DUREE_VENTES,1)))</f>
        <v>1</v>
      </c>
      <c r="E29" s="22" t="n">
        <f aca="false">IF(A29&gt;=MOIS_LIVRAISON,APPEL_LIVRAISON,IF(C29&gt;=1,APPEL_ACHEVEMENT,IF(C29&gt;=SEUIL_HORS_EAU,APPEL_HORS_EAU,IF(C29&gt;=SEUIL_FONDATIONS,APPEL_FONDATIONS,0))))</f>
        <v>1</v>
      </c>
      <c r="F29" s="29" t="n">
        <f aca="false">ROUND(CA_TTC*D29*E29,2)</f>
        <v>6815000</v>
      </c>
      <c r="G29" s="29" t="n">
        <f aca="false">F29-F28</f>
        <v>340750</v>
      </c>
      <c r="H29" s="29" t="n">
        <f aca="false">IF(A29=1,FONDS_PROPRES,0)</f>
        <v>0</v>
      </c>
      <c r="I29" s="29" t="n">
        <f aca="false">IF(A29=MOIS_TERRAIN,PRIX_TERRAIN*(1+FRAIS_ACQ),0)</f>
        <v>0</v>
      </c>
      <c r="J29" s="29" t="n">
        <f aca="false">IF(A29=MOIS_TAXES,TAXES_URBA,0)</f>
        <v>0</v>
      </c>
      <c r="K29" s="29" t="n">
        <f aca="false">IF(AND(A29&gt;=MOIS_TRAVAUX,A29&lt;=MOIS_ACHEVEMENT),TRAVAUX_HT/DUREE_CHANTIER,0)</f>
        <v>0</v>
      </c>
      <c r="L29" s="29" t="n">
        <f aca="false">(SDP*COUT_M2+VRD)*HONORAIRES*IF(MOIS_TRAVAUX&gt;1,IF(A29&lt;MOIS_TRAVAUX,HONO_AVANT/(MOIS_TRAVAUX-1),IF(A29&lt;=MOIS_ACHEVEMENT,(1-HONO_AVANT)/DUREE_CHANTIER,0)),IF(A29&lt;=MOIS_ACHEVEMENT,1/DUREE_CHANTIER,0))</f>
        <v>0</v>
      </c>
      <c r="M29" s="29" t="n">
        <f aca="false">IF(A29=MOIS_TRAVAUX,(SDP*COUT_M2+VRD)*ASSURANCES,0)</f>
        <v>0</v>
      </c>
      <c r="N29" s="29" t="n">
        <f aca="false">CA_HT*COMMERCIALISATION*(D29-D28)+IF(AND(A29&gt;=MOIS_VENTES,A29&lt;=MOIS_VENTES+DUREE_VENTES),PUBLICITE/(DUREE_VENTES+1),0)</f>
        <v>0</v>
      </c>
      <c r="O29" s="29" t="n">
        <f aca="false">IF(A29&lt;=MOIS_LIVRAISON,CA_HT*GESTION/MOIS_LIVRAISON,0)</f>
        <v>9465.27777777778</v>
      </c>
      <c r="P29" s="29" t="n">
        <f aca="false">IF(A29=MOIS_TERRAIN,FRAIS_DOSSIER,0)+IF(AND(A29&gt;=MOIS_TRAVAUX,A29&lt;=MOIS_ACHEVEMENT),GFA_MONTANT*GFA_TAUX/12,0)</f>
        <v>0</v>
      </c>
      <c r="Q29" s="29" t="n">
        <f aca="false">(K29+L29+N29)*TVA_ACHATS</f>
        <v>0</v>
      </c>
      <c r="R29" s="29" t="n">
        <f aca="false">G29*TVA/(1+TVA)</f>
        <v>56791.6666666667</v>
      </c>
      <c r="S29" s="29" t="n">
        <f aca="false">MAX(0,R29-Q29-T28)</f>
        <v>56791.6666666667</v>
      </c>
      <c r="T29" s="29" t="n">
        <f aca="false">MAX(0,T28+Q29-R29)</f>
        <v>0</v>
      </c>
      <c r="U29" s="29" t="n">
        <f aca="false">S28</f>
        <v>180002.833333333</v>
      </c>
      <c r="V29" s="29" t="n">
        <f aca="false">SUM(I29:Q29)+U29</f>
        <v>189468.111111111</v>
      </c>
      <c r="W29" s="29" t="n">
        <f aca="false">ROUND(AA28*TAUX_CREDIT/12,2)</f>
        <v>0</v>
      </c>
      <c r="X29" s="29" t="n">
        <f aca="false">G29-V29-W29</f>
        <v>151281.888888889</v>
      </c>
      <c r="Y29" s="29" t="n">
        <f aca="false">MAX(0,MIN(TRESO_MIN-(AB28+H29+X29),PLAFOND_CREDIT-AA28))</f>
        <v>0</v>
      </c>
      <c r="Z29" s="29" t="n">
        <f aca="false">MIN(AA28,MAX(0,AB28+H29+X29-TRESO_MIN))</f>
        <v>0</v>
      </c>
      <c r="AA29" s="30" t="n">
        <f aca="false">AA28+Y29-Z29</f>
        <v>0</v>
      </c>
      <c r="AB29" s="30" t="n">
        <f aca="false">AB28+H29+X29+Y29-Z29</f>
        <v>1527377.44</v>
      </c>
      <c r="AC29" s="30" t="n">
        <f aca="false">AC28+X29</f>
        <v>877377.44</v>
      </c>
      <c r="AD29" s="31" t="str">
        <f aca="false">IF(AC29=MIN($AC$6:$AC$53),"◀ POINT BAS","")</f>
        <v/>
      </c>
    </row>
    <row r="30" customFormat="false" ht="15" hidden="false" customHeight="false" outlineLevel="0" collapsed="false">
      <c r="A30" s="27" t="n">
        <v>25</v>
      </c>
      <c r="B30" s="28" t="n">
        <f aca="false">EDATE(DEBUT_PLAN,A30-1)</f>
        <v>46753</v>
      </c>
      <c r="C30" s="22" t="n">
        <f aca="false">MAX(0,MIN(1,(A30-MOIS_TRAVAUX+1)/DUREE_CHANTIER))</f>
        <v>1</v>
      </c>
      <c r="D30" s="22" t="n">
        <f aca="false">IF(A30&lt;MOIS_VENTES,0,MIN(1,PRECOMMERCIALISATION+(1-PRECOMMERCIALISATION)*IF(DUREE_VENTES&gt;0,(A30-MOIS_VENTES)/DUREE_VENTES,1)))</f>
        <v>1</v>
      </c>
      <c r="E30" s="22" t="n">
        <f aca="false">IF(A30&gt;=MOIS_LIVRAISON,APPEL_LIVRAISON,IF(C30&gt;=1,APPEL_ACHEVEMENT,IF(C30&gt;=SEUIL_HORS_EAU,APPEL_HORS_EAU,IF(C30&gt;=SEUIL_FONDATIONS,APPEL_FONDATIONS,0))))</f>
        <v>1</v>
      </c>
      <c r="F30" s="29" t="n">
        <f aca="false">ROUND(CA_TTC*D30*E30,2)</f>
        <v>6815000</v>
      </c>
      <c r="G30" s="29" t="n">
        <f aca="false">F30-F29</f>
        <v>0</v>
      </c>
      <c r="H30" s="29" t="n">
        <f aca="false">IF(A30=1,FONDS_PROPRES,0)</f>
        <v>0</v>
      </c>
      <c r="I30" s="29" t="n">
        <f aca="false">IF(A30=MOIS_TERRAIN,PRIX_TERRAIN*(1+FRAIS_ACQ),0)</f>
        <v>0</v>
      </c>
      <c r="J30" s="29" t="n">
        <f aca="false">IF(A30=MOIS_TAXES,TAXES_URBA,0)</f>
        <v>0</v>
      </c>
      <c r="K30" s="29" t="n">
        <f aca="false">IF(AND(A30&gt;=MOIS_TRAVAUX,A30&lt;=MOIS_ACHEVEMENT),TRAVAUX_HT/DUREE_CHANTIER,0)</f>
        <v>0</v>
      </c>
      <c r="L30" s="29" t="n">
        <f aca="false">(SDP*COUT_M2+VRD)*HONORAIRES*IF(MOIS_TRAVAUX&gt;1,IF(A30&lt;MOIS_TRAVAUX,HONO_AVANT/(MOIS_TRAVAUX-1),IF(A30&lt;=MOIS_ACHEVEMENT,(1-HONO_AVANT)/DUREE_CHANTIER,0)),IF(A30&lt;=MOIS_ACHEVEMENT,1/DUREE_CHANTIER,0))</f>
        <v>0</v>
      </c>
      <c r="M30" s="29" t="n">
        <f aca="false">IF(A30=MOIS_TRAVAUX,(SDP*COUT_M2+VRD)*ASSURANCES,0)</f>
        <v>0</v>
      </c>
      <c r="N30" s="29" t="n">
        <f aca="false">CA_HT*COMMERCIALISATION*(D30-D29)+IF(AND(A30&gt;=MOIS_VENTES,A30&lt;=MOIS_VENTES+DUREE_VENTES),PUBLICITE/(DUREE_VENTES+1),0)</f>
        <v>0</v>
      </c>
      <c r="O30" s="29" t="n">
        <f aca="false">IF(A30&lt;=MOIS_LIVRAISON,CA_HT*GESTION/MOIS_LIVRAISON,0)</f>
        <v>0</v>
      </c>
      <c r="P30" s="29" t="n">
        <f aca="false">IF(A30=MOIS_TERRAIN,FRAIS_DOSSIER,0)+IF(AND(A30&gt;=MOIS_TRAVAUX,A30&lt;=MOIS_ACHEVEMENT),GFA_MONTANT*GFA_TAUX/12,0)</f>
        <v>0</v>
      </c>
      <c r="Q30" s="29" t="n">
        <f aca="false">(K30+L30+N30)*TVA_ACHATS</f>
        <v>0</v>
      </c>
      <c r="R30" s="29" t="n">
        <f aca="false">G30*TVA/(1+TVA)</f>
        <v>0</v>
      </c>
      <c r="S30" s="29" t="n">
        <f aca="false">MAX(0,R30-Q30-T29)</f>
        <v>0</v>
      </c>
      <c r="T30" s="29" t="n">
        <f aca="false">MAX(0,T29+Q30-R30)</f>
        <v>0</v>
      </c>
      <c r="U30" s="29" t="n">
        <f aca="false">S29</f>
        <v>56791.6666666667</v>
      </c>
      <c r="V30" s="29" t="n">
        <f aca="false">SUM(I30:Q30)+U30</f>
        <v>56791.6666666667</v>
      </c>
      <c r="W30" s="29" t="n">
        <f aca="false">ROUND(AA29*TAUX_CREDIT/12,2)</f>
        <v>0</v>
      </c>
      <c r="X30" s="29" t="n">
        <f aca="false">G30-V30-W30</f>
        <v>-56791.6666666667</v>
      </c>
      <c r="Y30" s="29" t="n">
        <f aca="false">MAX(0,MIN(TRESO_MIN-(AB29+H30+X30),PLAFOND_CREDIT-AA29))</f>
        <v>0</v>
      </c>
      <c r="Z30" s="29" t="n">
        <f aca="false">MIN(AA29,MAX(0,AB29+H30+X30-TRESO_MIN))</f>
        <v>0</v>
      </c>
      <c r="AA30" s="30" t="n">
        <f aca="false">AA29+Y30-Z30</f>
        <v>0</v>
      </c>
      <c r="AB30" s="30" t="n">
        <f aca="false">AB29+H30+X30+Y30-Z30</f>
        <v>1470585.77333333</v>
      </c>
      <c r="AC30" s="30" t="n">
        <f aca="false">AC29+X30</f>
        <v>820585.773333334</v>
      </c>
      <c r="AD30" s="31" t="str">
        <f aca="false">IF(AC30=MIN($AC$6:$AC$53),"◀ POINT BAS","")</f>
        <v/>
      </c>
    </row>
    <row r="31" customFormat="false" ht="15" hidden="false" customHeight="false" outlineLevel="0" collapsed="false">
      <c r="A31" s="27" t="n">
        <v>26</v>
      </c>
      <c r="B31" s="28" t="n">
        <f aca="false">EDATE(DEBUT_PLAN,A31-1)</f>
        <v>46784</v>
      </c>
      <c r="C31" s="22" t="n">
        <f aca="false">MAX(0,MIN(1,(A31-MOIS_TRAVAUX+1)/DUREE_CHANTIER))</f>
        <v>1</v>
      </c>
      <c r="D31" s="22" t="n">
        <f aca="false">IF(A31&lt;MOIS_VENTES,0,MIN(1,PRECOMMERCIALISATION+(1-PRECOMMERCIALISATION)*IF(DUREE_VENTES&gt;0,(A31-MOIS_VENTES)/DUREE_VENTES,1)))</f>
        <v>1</v>
      </c>
      <c r="E31" s="22" t="n">
        <f aca="false">IF(A31&gt;=MOIS_LIVRAISON,APPEL_LIVRAISON,IF(C31&gt;=1,APPEL_ACHEVEMENT,IF(C31&gt;=SEUIL_HORS_EAU,APPEL_HORS_EAU,IF(C31&gt;=SEUIL_FONDATIONS,APPEL_FONDATIONS,0))))</f>
        <v>1</v>
      </c>
      <c r="F31" s="29" t="n">
        <f aca="false">ROUND(CA_TTC*D31*E31,2)</f>
        <v>6815000</v>
      </c>
      <c r="G31" s="29" t="n">
        <f aca="false">F31-F30</f>
        <v>0</v>
      </c>
      <c r="H31" s="29" t="n">
        <f aca="false">IF(A31=1,FONDS_PROPRES,0)</f>
        <v>0</v>
      </c>
      <c r="I31" s="29" t="n">
        <f aca="false">IF(A31=MOIS_TERRAIN,PRIX_TERRAIN*(1+FRAIS_ACQ),0)</f>
        <v>0</v>
      </c>
      <c r="J31" s="29" t="n">
        <f aca="false">IF(A31=MOIS_TAXES,TAXES_URBA,0)</f>
        <v>81000</v>
      </c>
      <c r="K31" s="29" t="n">
        <f aca="false">IF(AND(A31&gt;=MOIS_TRAVAUX,A31&lt;=MOIS_ACHEVEMENT),TRAVAUX_HT/DUREE_CHANTIER,0)</f>
        <v>0</v>
      </c>
      <c r="L31" s="29" t="n">
        <f aca="false">(SDP*COUT_M2+VRD)*HONORAIRES*IF(MOIS_TRAVAUX&gt;1,IF(A31&lt;MOIS_TRAVAUX,HONO_AVANT/(MOIS_TRAVAUX-1),IF(A31&lt;=MOIS_ACHEVEMENT,(1-HONO_AVANT)/DUREE_CHANTIER,0)),IF(A31&lt;=MOIS_ACHEVEMENT,1/DUREE_CHANTIER,0))</f>
        <v>0</v>
      </c>
      <c r="M31" s="29" t="n">
        <f aca="false">IF(A31=MOIS_TRAVAUX,(SDP*COUT_M2+VRD)*ASSURANCES,0)</f>
        <v>0</v>
      </c>
      <c r="N31" s="29" t="n">
        <f aca="false">CA_HT*COMMERCIALISATION*(D31-D30)+IF(AND(A31&gt;=MOIS_VENTES,A31&lt;=MOIS_VENTES+DUREE_VENTES),PUBLICITE/(DUREE_VENTES+1),0)</f>
        <v>0</v>
      </c>
      <c r="O31" s="29" t="n">
        <f aca="false">IF(A31&lt;=MOIS_LIVRAISON,CA_HT*GESTION/MOIS_LIVRAISON,0)</f>
        <v>0</v>
      </c>
      <c r="P31" s="29" t="n">
        <f aca="false">IF(A31=MOIS_TERRAIN,FRAIS_DOSSIER,0)+IF(AND(A31&gt;=MOIS_TRAVAUX,A31&lt;=MOIS_ACHEVEMENT),GFA_MONTANT*GFA_TAUX/12,0)</f>
        <v>0</v>
      </c>
      <c r="Q31" s="29" t="n">
        <f aca="false">(K31+L31+N31)*TVA_ACHATS</f>
        <v>0</v>
      </c>
      <c r="R31" s="29" t="n">
        <f aca="false">G31*TVA/(1+TVA)</f>
        <v>0</v>
      </c>
      <c r="S31" s="29" t="n">
        <f aca="false">MAX(0,R31-Q31-T30)</f>
        <v>0</v>
      </c>
      <c r="T31" s="29" t="n">
        <f aca="false">MAX(0,T30+Q31-R31)</f>
        <v>0</v>
      </c>
      <c r="U31" s="29" t="n">
        <f aca="false">S30</f>
        <v>0</v>
      </c>
      <c r="V31" s="29" t="n">
        <f aca="false">SUM(I31:Q31)+U31</f>
        <v>81000</v>
      </c>
      <c r="W31" s="29" t="n">
        <f aca="false">ROUND(AA30*TAUX_CREDIT/12,2)</f>
        <v>0</v>
      </c>
      <c r="X31" s="29" t="n">
        <f aca="false">G31-V31-W31</f>
        <v>-81000</v>
      </c>
      <c r="Y31" s="29" t="n">
        <f aca="false">MAX(0,MIN(TRESO_MIN-(AB30+H31+X31),PLAFOND_CREDIT-AA30))</f>
        <v>0</v>
      </c>
      <c r="Z31" s="29" t="n">
        <f aca="false">MIN(AA30,MAX(0,AB30+H31+X31-TRESO_MIN))</f>
        <v>0</v>
      </c>
      <c r="AA31" s="30" t="n">
        <f aca="false">AA30+Y31-Z31</f>
        <v>0</v>
      </c>
      <c r="AB31" s="30" t="n">
        <f aca="false">AB30+H31+X31+Y31-Z31</f>
        <v>1389585.77333333</v>
      </c>
      <c r="AC31" s="30" t="n">
        <f aca="false">AC30+X31</f>
        <v>739585.773333334</v>
      </c>
      <c r="AD31" s="31" t="str">
        <f aca="false">IF(AC31=MIN($AC$6:$AC$53),"◀ POINT BAS","")</f>
        <v/>
      </c>
    </row>
    <row r="32" customFormat="false" ht="15" hidden="false" customHeight="false" outlineLevel="0" collapsed="false">
      <c r="A32" s="27" t="n">
        <v>27</v>
      </c>
      <c r="B32" s="28" t="n">
        <f aca="false">EDATE(DEBUT_PLAN,A32-1)</f>
        <v>46813</v>
      </c>
      <c r="C32" s="22" t="n">
        <f aca="false">MAX(0,MIN(1,(A32-MOIS_TRAVAUX+1)/DUREE_CHANTIER))</f>
        <v>1</v>
      </c>
      <c r="D32" s="22" t="n">
        <f aca="false">IF(A32&lt;MOIS_VENTES,0,MIN(1,PRECOMMERCIALISATION+(1-PRECOMMERCIALISATION)*IF(DUREE_VENTES&gt;0,(A32-MOIS_VENTES)/DUREE_VENTES,1)))</f>
        <v>1</v>
      </c>
      <c r="E32" s="22" t="n">
        <f aca="false">IF(A32&gt;=MOIS_LIVRAISON,APPEL_LIVRAISON,IF(C32&gt;=1,APPEL_ACHEVEMENT,IF(C32&gt;=SEUIL_HORS_EAU,APPEL_HORS_EAU,IF(C32&gt;=SEUIL_FONDATIONS,APPEL_FONDATIONS,0))))</f>
        <v>1</v>
      </c>
      <c r="F32" s="29" t="n">
        <f aca="false">ROUND(CA_TTC*D32*E32,2)</f>
        <v>6815000</v>
      </c>
      <c r="G32" s="29" t="n">
        <f aca="false">F32-F31</f>
        <v>0</v>
      </c>
      <c r="H32" s="29" t="n">
        <f aca="false">IF(A32=1,FONDS_PROPRES,0)</f>
        <v>0</v>
      </c>
      <c r="I32" s="29" t="n">
        <f aca="false">IF(A32=MOIS_TERRAIN,PRIX_TERRAIN*(1+FRAIS_ACQ),0)</f>
        <v>0</v>
      </c>
      <c r="J32" s="29" t="n">
        <f aca="false">IF(A32=MOIS_TAXES,TAXES_URBA,0)</f>
        <v>0</v>
      </c>
      <c r="K32" s="29" t="n">
        <f aca="false">IF(AND(A32&gt;=MOIS_TRAVAUX,A32&lt;=MOIS_ACHEVEMENT),TRAVAUX_HT/DUREE_CHANTIER,0)</f>
        <v>0</v>
      </c>
      <c r="L32" s="29" t="n">
        <f aca="false">(SDP*COUT_M2+VRD)*HONORAIRES*IF(MOIS_TRAVAUX&gt;1,IF(A32&lt;MOIS_TRAVAUX,HONO_AVANT/(MOIS_TRAVAUX-1),IF(A32&lt;=MOIS_ACHEVEMENT,(1-HONO_AVANT)/DUREE_CHANTIER,0)),IF(A32&lt;=MOIS_ACHEVEMENT,1/DUREE_CHANTIER,0))</f>
        <v>0</v>
      </c>
      <c r="M32" s="29" t="n">
        <f aca="false">IF(A32=MOIS_TRAVAUX,(SDP*COUT_M2+VRD)*ASSURANCES,0)</f>
        <v>0</v>
      </c>
      <c r="N32" s="29" t="n">
        <f aca="false">CA_HT*COMMERCIALISATION*(D32-D31)+IF(AND(A32&gt;=MOIS_VENTES,A32&lt;=MOIS_VENTES+DUREE_VENTES),PUBLICITE/(DUREE_VENTES+1),0)</f>
        <v>0</v>
      </c>
      <c r="O32" s="29" t="n">
        <f aca="false">IF(A32&lt;=MOIS_LIVRAISON,CA_HT*GESTION/MOIS_LIVRAISON,0)</f>
        <v>0</v>
      </c>
      <c r="P32" s="29" t="n">
        <f aca="false">IF(A32=MOIS_TERRAIN,FRAIS_DOSSIER,0)+IF(AND(A32&gt;=MOIS_TRAVAUX,A32&lt;=MOIS_ACHEVEMENT),GFA_MONTANT*GFA_TAUX/12,0)</f>
        <v>0</v>
      </c>
      <c r="Q32" s="29" t="n">
        <f aca="false">(K32+L32+N32)*TVA_ACHATS</f>
        <v>0</v>
      </c>
      <c r="R32" s="29" t="n">
        <f aca="false">G32*TVA/(1+TVA)</f>
        <v>0</v>
      </c>
      <c r="S32" s="29" t="n">
        <f aca="false">MAX(0,R32-Q32-T31)</f>
        <v>0</v>
      </c>
      <c r="T32" s="29" t="n">
        <f aca="false">MAX(0,T31+Q32-R32)</f>
        <v>0</v>
      </c>
      <c r="U32" s="29" t="n">
        <f aca="false">S31</f>
        <v>0</v>
      </c>
      <c r="V32" s="29" t="n">
        <f aca="false">SUM(I32:Q32)+U32</f>
        <v>0</v>
      </c>
      <c r="W32" s="29" t="n">
        <f aca="false">ROUND(AA31*TAUX_CREDIT/12,2)</f>
        <v>0</v>
      </c>
      <c r="X32" s="29" t="n">
        <f aca="false">G32-V32-W32</f>
        <v>0</v>
      </c>
      <c r="Y32" s="29" t="n">
        <f aca="false">MAX(0,MIN(TRESO_MIN-(AB31+H32+X32),PLAFOND_CREDIT-AA31))</f>
        <v>0</v>
      </c>
      <c r="Z32" s="29" t="n">
        <f aca="false">MIN(AA31,MAX(0,AB31+H32+X32-TRESO_MIN))</f>
        <v>0</v>
      </c>
      <c r="AA32" s="30" t="n">
        <f aca="false">AA31+Y32-Z32</f>
        <v>0</v>
      </c>
      <c r="AB32" s="30" t="n">
        <f aca="false">AB31+H32+X32+Y32-Z32</f>
        <v>1389585.77333333</v>
      </c>
      <c r="AC32" s="30" t="n">
        <f aca="false">AC31+X32</f>
        <v>739585.773333334</v>
      </c>
      <c r="AD32" s="31" t="str">
        <f aca="false">IF(AC32=MIN($AC$6:$AC$53),"◀ POINT BAS","")</f>
        <v/>
      </c>
    </row>
    <row r="33" customFormat="false" ht="15" hidden="false" customHeight="false" outlineLevel="0" collapsed="false">
      <c r="A33" s="27" t="n">
        <v>28</v>
      </c>
      <c r="B33" s="28" t="n">
        <f aca="false">EDATE(DEBUT_PLAN,A33-1)</f>
        <v>46844</v>
      </c>
      <c r="C33" s="22" t="n">
        <f aca="false">MAX(0,MIN(1,(A33-MOIS_TRAVAUX+1)/DUREE_CHANTIER))</f>
        <v>1</v>
      </c>
      <c r="D33" s="22" t="n">
        <f aca="false">IF(A33&lt;MOIS_VENTES,0,MIN(1,PRECOMMERCIALISATION+(1-PRECOMMERCIALISATION)*IF(DUREE_VENTES&gt;0,(A33-MOIS_VENTES)/DUREE_VENTES,1)))</f>
        <v>1</v>
      </c>
      <c r="E33" s="22" t="n">
        <f aca="false">IF(A33&gt;=MOIS_LIVRAISON,APPEL_LIVRAISON,IF(C33&gt;=1,APPEL_ACHEVEMENT,IF(C33&gt;=SEUIL_HORS_EAU,APPEL_HORS_EAU,IF(C33&gt;=SEUIL_FONDATIONS,APPEL_FONDATIONS,0))))</f>
        <v>1</v>
      </c>
      <c r="F33" s="29" t="n">
        <f aca="false">ROUND(CA_TTC*D33*E33,2)</f>
        <v>6815000</v>
      </c>
      <c r="G33" s="29" t="n">
        <f aca="false">F33-F32</f>
        <v>0</v>
      </c>
      <c r="H33" s="29" t="n">
        <f aca="false">IF(A33=1,FONDS_PROPRES,0)</f>
        <v>0</v>
      </c>
      <c r="I33" s="29" t="n">
        <f aca="false">IF(A33=MOIS_TERRAIN,PRIX_TERRAIN*(1+FRAIS_ACQ),0)</f>
        <v>0</v>
      </c>
      <c r="J33" s="29" t="n">
        <f aca="false">IF(A33=MOIS_TAXES,TAXES_URBA,0)</f>
        <v>0</v>
      </c>
      <c r="K33" s="29" t="n">
        <f aca="false">IF(AND(A33&gt;=MOIS_TRAVAUX,A33&lt;=MOIS_ACHEVEMENT),TRAVAUX_HT/DUREE_CHANTIER,0)</f>
        <v>0</v>
      </c>
      <c r="L33" s="29" t="n">
        <f aca="false">(SDP*COUT_M2+VRD)*HONORAIRES*IF(MOIS_TRAVAUX&gt;1,IF(A33&lt;MOIS_TRAVAUX,HONO_AVANT/(MOIS_TRAVAUX-1),IF(A33&lt;=MOIS_ACHEVEMENT,(1-HONO_AVANT)/DUREE_CHANTIER,0)),IF(A33&lt;=MOIS_ACHEVEMENT,1/DUREE_CHANTIER,0))</f>
        <v>0</v>
      </c>
      <c r="M33" s="29" t="n">
        <f aca="false">IF(A33=MOIS_TRAVAUX,(SDP*COUT_M2+VRD)*ASSURANCES,0)</f>
        <v>0</v>
      </c>
      <c r="N33" s="29" t="n">
        <f aca="false">CA_HT*COMMERCIALISATION*(D33-D32)+IF(AND(A33&gt;=MOIS_VENTES,A33&lt;=MOIS_VENTES+DUREE_VENTES),PUBLICITE/(DUREE_VENTES+1),0)</f>
        <v>0</v>
      </c>
      <c r="O33" s="29" t="n">
        <f aca="false">IF(A33&lt;=MOIS_LIVRAISON,CA_HT*GESTION/MOIS_LIVRAISON,0)</f>
        <v>0</v>
      </c>
      <c r="P33" s="29" t="n">
        <f aca="false">IF(A33=MOIS_TERRAIN,FRAIS_DOSSIER,0)+IF(AND(A33&gt;=MOIS_TRAVAUX,A33&lt;=MOIS_ACHEVEMENT),GFA_MONTANT*GFA_TAUX/12,0)</f>
        <v>0</v>
      </c>
      <c r="Q33" s="29" t="n">
        <f aca="false">(K33+L33+N33)*TVA_ACHATS</f>
        <v>0</v>
      </c>
      <c r="R33" s="29" t="n">
        <f aca="false">G33*TVA/(1+TVA)</f>
        <v>0</v>
      </c>
      <c r="S33" s="29" t="n">
        <f aca="false">MAX(0,R33-Q33-T32)</f>
        <v>0</v>
      </c>
      <c r="T33" s="29" t="n">
        <f aca="false">MAX(0,T32+Q33-R33)</f>
        <v>0</v>
      </c>
      <c r="U33" s="29" t="n">
        <f aca="false">S32</f>
        <v>0</v>
      </c>
      <c r="V33" s="29" t="n">
        <f aca="false">SUM(I33:Q33)+U33</f>
        <v>0</v>
      </c>
      <c r="W33" s="29" t="n">
        <f aca="false">ROUND(AA32*TAUX_CREDIT/12,2)</f>
        <v>0</v>
      </c>
      <c r="X33" s="29" t="n">
        <f aca="false">G33-V33-W33</f>
        <v>0</v>
      </c>
      <c r="Y33" s="29" t="n">
        <f aca="false">MAX(0,MIN(TRESO_MIN-(AB32+H33+X33),PLAFOND_CREDIT-AA32))</f>
        <v>0</v>
      </c>
      <c r="Z33" s="29" t="n">
        <f aca="false">MIN(AA32,MAX(0,AB32+H33+X33-TRESO_MIN))</f>
        <v>0</v>
      </c>
      <c r="AA33" s="30" t="n">
        <f aca="false">AA32+Y33-Z33</f>
        <v>0</v>
      </c>
      <c r="AB33" s="30" t="n">
        <f aca="false">AB32+H33+X33+Y33-Z33</f>
        <v>1389585.77333333</v>
      </c>
      <c r="AC33" s="30" t="n">
        <f aca="false">AC32+X33</f>
        <v>739585.773333334</v>
      </c>
      <c r="AD33" s="31" t="str">
        <f aca="false">IF(AC33=MIN($AC$6:$AC$53),"◀ POINT BAS","")</f>
        <v/>
      </c>
    </row>
    <row r="34" customFormat="false" ht="15" hidden="false" customHeight="false" outlineLevel="0" collapsed="false">
      <c r="A34" s="27" t="n">
        <v>29</v>
      </c>
      <c r="B34" s="28" t="n">
        <f aca="false">EDATE(DEBUT_PLAN,A34-1)</f>
        <v>46874</v>
      </c>
      <c r="C34" s="22" t="n">
        <f aca="false">MAX(0,MIN(1,(A34-MOIS_TRAVAUX+1)/DUREE_CHANTIER))</f>
        <v>1</v>
      </c>
      <c r="D34" s="22" t="n">
        <f aca="false">IF(A34&lt;MOIS_VENTES,0,MIN(1,PRECOMMERCIALISATION+(1-PRECOMMERCIALISATION)*IF(DUREE_VENTES&gt;0,(A34-MOIS_VENTES)/DUREE_VENTES,1)))</f>
        <v>1</v>
      </c>
      <c r="E34" s="22" t="n">
        <f aca="false">IF(A34&gt;=MOIS_LIVRAISON,APPEL_LIVRAISON,IF(C34&gt;=1,APPEL_ACHEVEMENT,IF(C34&gt;=SEUIL_HORS_EAU,APPEL_HORS_EAU,IF(C34&gt;=SEUIL_FONDATIONS,APPEL_FONDATIONS,0))))</f>
        <v>1</v>
      </c>
      <c r="F34" s="29" t="n">
        <f aca="false">ROUND(CA_TTC*D34*E34,2)</f>
        <v>6815000</v>
      </c>
      <c r="G34" s="29" t="n">
        <f aca="false">F34-F33</f>
        <v>0</v>
      </c>
      <c r="H34" s="29" t="n">
        <f aca="false">IF(A34=1,FONDS_PROPRES,0)</f>
        <v>0</v>
      </c>
      <c r="I34" s="29" t="n">
        <f aca="false">IF(A34=MOIS_TERRAIN,PRIX_TERRAIN*(1+FRAIS_ACQ),0)</f>
        <v>0</v>
      </c>
      <c r="J34" s="29" t="n">
        <f aca="false">IF(A34=MOIS_TAXES,TAXES_URBA,0)</f>
        <v>0</v>
      </c>
      <c r="K34" s="29" t="n">
        <f aca="false">IF(AND(A34&gt;=MOIS_TRAVAUX,A34&lt;=MOIS_ACHEVEMENT),TRAVAUX_HT/DUREE_CHANTIER,0)</f>
        <v>0</v>
      </c>
      <c r="L34" s="29" t="n">
        <f aca="false">(SDP*COUT_M2+VRD)*HONORAIRES*IF(MOIS_TRAVAUX&gt;1,IF(A34&lt;MOIS_TRAVAUX,HONO_AVANT/(MOIS_TRAVAUX-1),IF(A34&lt;=MOIS_ACHEVEMENT,(1-HONO_AVANT)/DUREE_CHANTIER,0)),IF(A34&lt;=MOIS_ACHEVEMENT,1/DUREE_CHANTIER,0))</f>
        <v>0</v>
      </c>
      <c r="M34" s="29" t="n">
        <f aca="false">IF(A34=MOIS_TRAVAUX,(SDP*COUT_M2+VRD)*ASSURANCES,0)</f>
        <v>0</v>
      </c>
      <c r="N34" s="29" t="n">
        <f aca="false">CA_HT*COMMERCIALISATION*(D34-D33)+IF(AND(A34&gt;=MOIS_VENTES,A34&lt;=MOIS_VENTES+DUREE_VENTES),PUBLICITE/(DUREE_VENTES+1),0)</f>
        <v>0</v>
      </c>
      <c r="O34" s="29" t="n">
        <f aca="false">IF(A34&lt;=MOIS_LIVRAISON,CA_HT*GESTION/MOIS_LIVRAISON,0)</f>
        <v>0</v>
      </c>
      <c r="P34" s="29" t="n">
        <f aca="false">IF(A34=MOIS_TERRAIN,FRAIS_DOSSIER,0)+IF(AND(A34&gt;=MOIS_TRAVAUX,A34&lt;=MOIS_ACHEVEMENT),GFA_MONTANT*GFA_TAUX/12,0)</f>
        <v>0</v>
      </c>
      <c r="Q34" s="29" t="n">
        <f aca="false">(K34+L34+N34)*TVA_ACHATS</f>
        <v>0</v>
      </c>
      <c r="R34" s="29" t="n">
        <f aca="false">G34*TVA/(1+TVA)</f>
        <v>0</v>
      </c>
      <c r="S34" s="29" t="n">
        <f aca="false">MAX(0,R34-Q34-T33)</f>
        <v>0</v>
      </c>
      <c r="T34" s="29" t="n">
        <f aca="false">MAX(0,T33+Q34-R34)</f>
        <v>0</v>
      </c>
      <c r="U34" s="29" t="n">
        <f aca="false">S33</f>
        <v>0</v>
      </c>
      <c r="V34" s="29" t="n">
        <f aca="false">SUM(I34:Q34)+U34</f>
        <v>0</v>
      </c>
      <c r="W34" s="29" t="n">
        <f aca="false">ROUND(AA33*TAUX_CREDIT/12,2)</f>
        <v>0</v>
      </c>
      <c r="X34" s="29" t="n">
        <f aca="false">G34-V34-W34</f>
        <v>0</v>
      </c>
      <c r="Y34" s="29" t="n">
        <f aca="false">MAX(0,MIN(TRESO_MIN-(AB33+H34+X34),PLAFOND_CREDIT-AA33))</f>
        <v>0</v>
      </c>
      <c r="Z34" s="29" t="n">
        <f aca="false">MIN(AA33,MAX(0,AB33+H34+X34-TRESO_MIN))</f>
        <v>0</v>
      </c>
      <c r="AA34" s="30" t="n">
        <f aca="false">AA33+Y34-Z34</f>
        <v>0</v>
      </c>
      <c r="AB34" s="30" t="n">
        <f aca="false">AB33+H34+X34+Y34-Z34</f>
        <v>1389585.77333333</v>
      </c>
      <c r="AC34" s="30" t="n">
        <f aca="false">AC33+X34</f>
        <v>739585.773333334</v>
      </c>
      <c r="AD34" s="31" t="str">
        <f aca="false">IF(AC34=MIN($AC$6:$AC$53),"◀ POINT BAS","")</f>
        <v/>
      </c>
    </row>
    <row r="35" customFormat="false" ht="15" hidden="false" customHeight="false" outlineLevel="0" collapsed="false">
      <c r="A35" s="27" t="n">
        <v>30</v>
      </c>
      <c r="B35" s="28" t="n">
        <f aca="false">EDATE(DEBUT_PLAN,A35-1)</f>
        <v>46905</v>
      </c>
      <c r="C35" s="22" t="n">
        <f aca="false">MAX(0,MIN(1,(A35-MOIS_TRAVAUX+1)/DUREE_CHANTIER))</f>
        <v>1</v>
      </c>
      <c r="D35" s="22" t="n">
        <f aca="false">IF(A35&lt;MOIS_VENTES,0,MIN(1,PRECOMMERCIALISATION+(1-PRECOMMERCIALISATION)*IF(DUREE_VENTES&gt;0,(A35-MOIS_VENTES)/DUREE_VENTES,1)))</f>
        <v>1</v>
      </c>
      <c r="E35" s="22" t="n">
        <f aca="false">IF(A35&gt;=MOIS_LIVRAISON,APPEL_LIVRAISON,IF(C35&gt;=1,APPEL_ACHEVEMENT,IF(C35&gt;=SEUIL_HORS_EAU,APPEL_HORS_EAU,IF(C35&gt;=SEUIL_FONDATIONS,APPEL_FONDATIONS,0))))</f>
        <v>1</v>
      </c>
      <c r="F35" s="29" t="n">
        <f aca="false">ROUND(CA_TTC*D35*E35,2)</f>
        <v>6815000</v>
      </c>
      <c r="G35" s="29" t="n">
        <f aca="false">F35-F34</f>
        <v>0</v>
      </c>
      <c r="H35" s="29" t="n">
        <f aca="false">IF(A35=1,FONDS_PROPRES,0)</f>
        <v>0</v>
      </c>
      <c r="I35" s="29" t="n">
        <f aca="false">IF(A35=MOIS_TERRAIN,PRIX_TERRAIN*(1+FRAIS_ACQ),0)</f>
        <v>0</v>
      </c>
      <c r="J35" s="29" t="n">
        <f aca="false">IF(A35=MOIS_TAXES,TAXES_URBA,0)</f>
        <v>0</v>
      </c>
      <c r="K35" s="29" t="n">
        <f aca="false">IF(AND(A35&gt;=MOIS_TRAVAUX,A35&lt;=MOIS_ACHEVEMENT),TRAVAUX_HT/DUREE_CHANTIER,0)</f>
        <v>0</v>
      </c>
      <c r="L35" s="29" t="n">
        <f aca="false">(SDP*COUT_M2+VRD)*HONORAIRES*IF(MOIS_TRAVAUX&gt;1,IF(A35&lt;MOIS_TRAVAUX,HONO_AVANT/(MOIS_TRAVAUX-1),IF(A35&lt;=MOIS_ACHEVEMENT,(1-HONO_AVANT)/DUREE_CHANTIER,0)),IF(A35&lt;=MOIS_ACHEVEMENT,1/DUREE_CHANTIER,0))</f>
        <v>0</v>
      </c>
      <c r="M35" s="29" t="n">
        <f aca="false">IF(A35=MOIS_TRAVAUX,(SDP*COUT_M2+VRD)*ASSURANCES,0)</f>
        <v>0</v>
      </c>
      <c r="N35" s="29" t="n">
        <f aca="false">CA_HT*COMMERCIALISATION*(D35-D34)+IF(AND(A35&gt;=MOIS_VENTES,A35&lt;=MOIS_VENTES+DUREE_VENTES),PUBLICITE/(DUREE_VENTES+1),0)</f>
        <v>0</v>
      </c>
      <c r="O35" s="29" t="n">
        <f aca="false">IF(A35&lt;=MOIS_LIVRAISON,CA_HT*GESTION/MOIS_LIVRAISON,0)</f>
        <v>0</v>
      </c>
      <c r="P35" s="29" t="n">
        <f aca="false">IF(A35=MOIS_TERRAIN,FRAIS_DOSSIER,0)+IF(AND(A35&gt;=MOIS_TRAVAUX,A35&lt;=MOIS_ACHEVEMENT),GFA_MONTANT*GFA_TAUX/12,0)</f>
        <v>0</v>
      </c>
      <c r="Q35" s="29" t="n">
        <f aca="false">(K35+L35+N35)*TVA_ACHATS</f>
        <v>0</v>
      </c>
      <c r="R35" s="29" t="n">
        <f aca="false">G35*TVA/(1+TVA)</f>
        <v>0</v>
      </c>
      <c r="S35" s="29" t="n">
        <f aca="false">MAX(0,R35-Q35-T34)</f>
        <v>0</v>
      </c>
      <c r="T35" s="29" t="n">
        <f aca="false">MAX(0,T34+Q35-R35)</f>
        <v>0</v>
      </c>
      <c r="U35" s="29" t="n">
        <f aca="false">S34</f>
        <v>0</v>
      </c>
      <c r="V35" s="29" t="n">
        <f aca="false">SUM(I35:Q35)+U35</f>
        <v>0</v>
      </c>
      <c r="W35" s="29" t="n">
        <f aca="false">ROUND(AA34*TAUX_CREDIT/12,2)</f>
        <v>0</v>
      </c>
      <c r="X35" s="29" t="n">
        <f aca="false">G35-V35-W35</f>
        <v>0</v>
      </c>
      <c r="Y35" s="29" t="n">
        <f aca="false">MAX(0,MIN(TRESO_MIN-(AB34+H35+X35),PLAFOND_CREDIT-AA34))</f>
        <v>0</v>
      </c>
      <c r="Z35" s="29" t="n">
        <f aca="false">MIN(AA34,MAX(0,AB34+H35+X35-TRESO_MIN))</f>
        <v>0</v>
      </c>
      <c r="AA35" s="30" t="n">
        <f aca="false">AA34+Y35-Z35</f>
        <v>0</v>
      </c>
      <c r="AB35" s="30" t="n">
        <f aca="false">AB34+H35+X35+Y35-Z35</f>
        <v>1389585.77333333</v>
      </c>
      <c r="AC35" s="30" t="n">
        <f aca="false">AC34+X35</f>
        <v>739585.773333334</v>
      </c>
      <c r="AD35" s="31" t="str">
        <f aca="false">IF(AC35=MIN($AC$6:$AC$53),"◀ POINT BAS","")</f>
        <v/>
      </c>
    </row>
    <row r="36" customFormat="false" ht="15" hidden="false" customHeight="false" outlineLevel="0" collapsed="false">
      <c r="A36" s="27" t="n">
        <v>31</v>
      </c>
      <c r="B36" s="28" t="n">
        <f aca="false">EDATE(DEBUT_PLAN,A36-1)</f>
        <v>46935</v>
      </c>
      <c r="C36" s="22" t="n">
        <f aca="false">MAX(0,MIN(1,(A36-MOIS_TRAVAUX+1)/DUREE_CHANTIER))</f>
        <v>1</v>
      </c>
      <c r="D36" s="22" t="n">
        <f aca="false">IF(A36&lt;MOIS_VENTES,0,MIN(1,PRECOMMERCIALISATION+(1-PRECOMMERCIALISATION)*IF(DUREE_VENTES&gt;0,(A36-MOIS_VENTES)/DUREE_VENTES,1)))</f>
        <v>1</v>
      </c>
      <c r="E36" s="22" t="n">
        <f aca="false">IF(A36&gt;=MOIS_LIVRAISON,APPEL_LIVRAISON,IF(C36&gt;=1,APPEL_ACHEVEMENT,IF(C36&gt;=SEUIL_HORS_EAU,APPEL_HORS_EAU,IF(C36&gt;=SEUIL_FONDATIONS,APPEL_FONDATIONS,0))))</f>
        <v>1</v>
      </c>
      <c r="F36" s="29" t="n">
        <f aca="false">ROUND(CA_TTC*D36*E36,2)</f>
        <v>6815000</v>
      </c>
      <c r="G36" s="29" t="n">
        <f aca="false">F36-F35</f>
        <v>0</v>
      </c>
      <c r="H36" s="29" t="n">
        <f aca="false">IF(A36=1,FONDS_PROPRES,0)</f>
        <v>0</v>
      </c>
      <c r="I36" s="29" t="n">
        <f aca="false">IF(A36=MOIS_TERRAIN,PRIX_TERRAIN*(1+FRAIS_ACQ),0)</f>
        <v>0</v>
      </c>
      <c r="J36" s="29" t="n">
        <f aca="false">IF(A36=MOIS_TAXES,TAXES_URBA,0)</f>
        <v>0</v>
      </c>
      <c r="K36" s="29" t="n">
        <f aca="false">IF(AND(A36&gt;=MOIS_TRAVAUX,A36&lt;=MOIS_ACHEVEMENT),TRAVAUX_HT/DUREE_CHANTIER,0)</f>
        <v>0</v>
      </c>
      <c r="L36" s="29" t="n">
        <f aca="false">(SDP*COUT_M2+VRD)*HONORAIRES*IF(MOIS_TRAVAUX&gt;1,IF(A36&lt;MOIS_TRAVAUX,HONO_AVANT/(MOIS_TRAVAUX-1),IF(A36&lt;=MOIS_ACHEVEMENT,(1-HONO_AVANT)/DUREE_CHANTIER,0)),IF(A36&lt;=MOIS_ACHEVEMENT,1/DUREE_CHANTIER,0))</f>
        <v>0</v>
      </c>
      <c r="M36" s="29" t="n">
        <f aca="false">IF(A36=MOIS_TRAVAUX,(SDP*COUT_M2+VRD)*ASSURANCES,0)</f>
        <v>0</v>
      </c>
      <c r="N36" s="29" t="n">
        <f aca="false">CA_HT*COMMERCIALISATION*(D36-D35)+IF(AND(A36&gt;=MOIS_VENTES,A36&lt;=MOIS_VENTES+DUREE_VENTES),PUBLICITE/(DUREE_VENTES+1),0)</f>
        <v>0</v>
      </c>
      <c r="O36" s="29" t="n">
        <f aca="false">IF(A36&lt;=MOIS_LIVRAISON,CA_HT*GESTION/MOIS_LIVRAISON,0)</f>
        <v>0</v>
      </c>
      <c r="P36" s="29" t="n">
        <f aca="false">IF(A36=MOIS_TERRAIN,FRAIS_DOSSIER,0)+IF(AND(A36&gt;=MOIS_TRAVAUX,A36&lt;=MOIS_ACHEVEMENT),GFA_MONTANT*GFA_TAUX/12,0)</f>
        <v>0</v>
      </c>
      <c r="Q36" s="29" t="n">
        <f aca="false">(K36+L36+N36)*TVA_ACHATS</f>
        <v>0</v>
      </c>
      <c r="R36" s="29" t="n">
        <f aca="false">G36*TVA/(1+TVA)</f>
        <v>0</v>
      </c>
      <c r="S36" s="29" t="n">
        <f aca="false">MAX(0,R36-Q36-T35)</f>
        <v>0</v>
      </c>
      <c r="T36" s="29" t="n">
        <f aca="false">MAX(0,T35+Q36-R36)</f>
        <v>0</v>
      </c>
      <c r="U36" s="29" t="n">
        <f aca="false">S35</f>
        <v>0</v>
      </c>
      <c r="V36" s="29" t="n">
        <f aca="false">SUM(I36:Q36)+U36</f>
        <v>0</v>
      </c>
      <c r="W36" s="29" t="n">
        <f aca="false">ROUND(AA35*TAUX_CREDIT/12,2)</f>
        <v>0</v>
      </c>
      <c r="X36" s="29" t="n">
        <f aca="false">G36-V36-W36</f>
        <v>0</v>
      </c>
      <c r="Y36" s="29" t="n">
        <f aca="false">MAX(0,MIN(TRESO_MIN-(AB35+H36+X36),PLAFOND_CREDIT-AA35))</f>
        <v>0</v>
      </c>
      <c r="Z36" s="29" t="n">
        <f aca="false">MIN(AA35,MAX(0,AB35+H36+X36-TRESO_MIN))</f>
        <v>0</v>
      </c>
      <c r="AA36" s="30" t="n">
        <f aca="false">AA35+Y36-Z36</f>
        <v>0</v>
      </c>
      <c r="AB36" s="30" t="n">
        <f aca="false">AB35+H36+X36+Y36-Z36</f>
        <v>1389585.77333333</v>
      </c>
      <c r="AC36" s="30" t="n">
        <f aca="false">AC35+X36</f>
        <v>739585.773333334</v>
      </c>
      <c r="AD36" s="31" t="str">
        <f aca="false">IF(AC36=MIN($AC$6:$AC$53),"◀ POINT BAS","")</f>
        <v/>
      </c>
    </row>
    <row r="37" customFormat="false" ht="15" hidden="false" customHeight="false" outlineLevel="0" collapsed="false">
      <c r="A37" s="27" t="n">
        <v>32</v>
      </c>
      <c r="B37" s="28" t="n">
        <f aca="false">EDATE(DEBUT_PLAN,A37-1)</f>
        <v>46966</v>
      </c>
      <c r="C37" s="22" t="n">
        <f aca="false">MAX(0,MIN(1,(A37-MOIS_TRAVAUX+1)/DUREE_CHANTIER))</f>
        <v>1</v>
      </c>
      <c r="D37" s="22" t="n">
        <f aca="false">IF(A37&lt;MOIS_VENTES,0,MIN(1,PRECOMMERCIALISATION+(1-PRECOMMERCIALISATION)*IF(DUREE_VENTES&gt;0,(A37-MOIS_VENTES)/DUREE_VENTES,1)))</f>
        <v>1</v>
      </c>
      <c r="E37" s="22" t="n">
        <f aca="false">IF(A37&gt;=MOIS_LIVRAISON,APPEL_LIVRAISON,IF(C37&gt;=1,APPEL_ACHEVEMENT,IF(C37&gt;=SEUIL_HORS_EAU,APPEL_HORS_EAU,IF(C37&gt;=SEUIL_FONDATIONS,APPEL_FONDATIONS,0))))</f>
        <v>1</v>
      </c>
      <c r="F37" s="29" t="n">
        <f aca="false">ROUND(CA_TTC*D37*E37,2)</f>
        <v>6815000</v>
      </c>
      <c r="G37" s="29" t="n">
        <f aca="false">F37-F36</f>
        <v>0</v>
      </c>
      <c r="H37" s="29" t="n">
        <f aca="false">IF(A37=1,FONDS_PROPRES,0)</f>
        <v>0</v>
      </c>
      <c r="I37" s="29" t="n">
        <f aca="false">IF(A37=MOIS_TERRAIN,PRIX_TERRAIN*(1+FRAIS_ACQ),0)</f>
        <v>0</v>
      </c>
      <c r="J37" s="29" t="n">
        <f aca="false">IF(A37=MOIS_TAXES,TAXES_URBA,0)</f>
        <v>0</v>
      </c>
      <c r="K37" s="29" t="n">
        <f aca="false">IF(AND(A37&gt;=MOIS_TRAVAUX,A37&lt;=MOIS_ACHEVEMENT),TRAVAUX_HT/DUREE_CHANTIER,0)</f>
        <v>0</v>
      </c>
      <c r="L37" s="29" t="n">
        <f aca="false">(SDP*COUT_M2+VRD)*HONORAIRES*IF(MOIS_TRAVAUX&gt;1,IF(A37&lt;MOIS_TRAVAUX,HONO_AVANT/(MOIS_TRAVAUX-1),IF(A37&lt;=MOIS_ACHEVEMENT,(1-HONO_AVANT)/DUREE_CHANTIER,0)),IF(A37&lt;=MOIS_ACHEVEMENT,1/DUREE_CHANTIER,0))</f>
        <v>0</v>
      </c>
      <c r="M37" s="29" t="n">
        <f aca="false">IF(A37=MOIS_TRAVAUX,(SDP*COUT_M2+VRD)*ASSURANCES,0)</f>
        <v>0</v>
      </c>
      <c r="N37" s="29" t="n">
        <f aca="false">CA_HT*COMMERCIALISATION*(D37-D36)+IF(AND(A37&gt;=MOIS_VENTES,A37&lt;=MOIS_VENTES+DUREE_VENTES),PUBLICITE/(DUREE_VENTES+1),0)</f>
        <v>0</v>
      </c>
      <c r="O37" s="29" t="n">
        <f aca="false">IF(A37&lt;=MOIS_LIVRAISON,CA_HT*GESTION/MOIS_LIVRAISON,0)</f>
        <v>0</v>
      </c>
      <c r="P37" s="29" t="n">
        <f aca="false">IF(A37=MOIS_TERRAIN,FRAIS_DOSSIER,0)+IF(AND(A37&gt;=MOIS_TRAVAUX,A37&lt;=MOIS_ACHEVEMENT),GFA_MONTANT*GFA_TAUX/12,0)</f>
        <v>0</v>
      </c>
      <c r="Q37" s="29" t="n">
        <f aca="false">(K37+L37+N37)*TVA_ACHATS</f>
        <v>0</v>
      </c>
      <c r="R37" s="29" t="n">
        <f aca="false">G37*TVA/(1+TVA)</f>
        <v>0</v>
      </c>
      <c r="S37" s="29" t="n">
        <f aca="false">MAX(0,R37-Q37-T36)</f>
        <v>0</v>
      </c>
      <c r="T37" s="29" t="n">
        <f aca="false">MAX(0,T36+Q37-R37)</f>
        <v>0</v>
      </c>
      <c r="U37" s="29" t="n">
        <f aca="false">S36</f>
        <v>0</v>
      </c>
      <c r="V37" s="29" t="n">
        <f aca="false">SUM(I37:Q37)+U37</f>
        <v>0</v>
      </c>
      <c r="W37" s="29" t="n">
        <f aca="false">ROUND(AA36*TAUX_CREDIT/12,2)</f>
        <v>0</v>
      </c>
      <c r="X37" s="29" t="n">
        <f aca="false">G37-V37-W37</f>
        <v>0</v>
      </c>
      <c r="Y37" s="29" t="n">
        <f aca="false">MAX(0,MIN(TRESO_MIN-(AB36+H37+X37),PLAFOND_CREDIT-AA36))</f>
        <v>0</v>
      </c>
      <c r="Z37" s="29" t="n">
        <f aca="false">MIN(AA36,MAX(0,AB36+H37+X37-TRESO_MIN))</f>
        <v>0</v>
      </c>
      <c r="AA37" s="30" t="n">
        <f aca="false">AA36+Y37-Z37</f>
        <v>0</v>
      </c>
      <c r="AB37" s="30" t="n">
        <f aca="false">AB36+H37+X37+Y37-Z37</f>
        <v>1389585.77333333</v>
      </c>
      <c r="AC37" s="30" t="n">
        <f aca="false">AC36+X37</f>
        <v>739585.773333334</v>
      </c>
      <c r="AD37" s="31" t="str">
        <f aca="false">IF(AC37=MIN($AC$6:$AC$53),"◀ POINT BAS","")</f>
        <v/>
      </c>
    </row>
    <row r="38" customFormat="false" ht="15" hidden="false" customHeight="false" outlineLevel="0" collapsed="false">
      <c r="A38" s="27" t="n">
        <v>33</v>
      </c>
      <c r="B38" s="28" t="n">
        <f aca="false">EDATE(DEBUT_PLAN,A38-1)</f>
        <v>46997</v>
      </c>
      <c r="C38" s="22" t="n">
        <f aca="false">MAX(0,MIN(1,(A38-MOIS_TRAVAUX+1)/DUREE_CHANTIER))</f>
        <v>1</v>
      </c>
      <c r="D38" s="22" t="n">
        <f aca="false">IF(A38&lt;MOIS_VENTES,0,MIN(1,PRECOMMERCIALISATION+(1-PRECOMMERCIALISATION)*IF(DUREE_VENTES&gt;0,(A38-MOIS_VENTES)/DUREE_VENTES,1)))</f>
        <v>1</v>
      </c>
      <c r="E38" s="22" t="n">
        <f aca="false">IF(A38&gt;=MOIS_LIVRAISON,APPEL_LIVRAISON,IF(C38&gt;=1,APPEL_ACHEVEMENT,IF(C38&gt;=SEUIL_HORS_EAU,APPEL_HORS_EAU,IF(C38&gt;=SEUIL_FONDATIONS,APPEL_FONDATIONS,0))))</f>
        <v>1</v>
      </c>
      <c r="F38" s="29" t="n">
        <f aca="false">ROUND(CA_TTC*D38*E38,2)</f>
        <v>6815000</v>
      </c>
      <c r="G38" s="29" t="n">
        <f aca="false">F38-F37</f>
        <v>0</v>
      </c>
      <c r="H38" s="29" t="n">
        <f aca="false">IF(A38=1,FONDS_PROPRES,0)</f>
        <v>0</v>
      </c>
      <c r="I38" s="29" t="n">
        <f aca="false">IF(A38=MOIS_TERRAIN,PRIX_TERRAIN*(1+FRAIS_ACQ),0)</f>
        <v>0</v>
      </c>
      <c r="J38" s="29" t="n">
        <f aca="false">IF(A38=MOIS_TAXES,TAXES_URBA,0)</f>
        <v>0</v>
      </c>
      <c r="K38" s="29" t="n">
        <f aca="false">IF(AND(A38&gt;=MOIS_TRAVAUX,A38&lt;=MOIS_ACHEVEMENT),TRAVAUX_HT/DUREE_CHANTIER,0)</f>
        <v>0</v>
      </c>
      <c r="L38" s="29" t="n">
        <f aca="false">(SDP*COUT_M2+VRD)*HONORAIRES*IF(MOIS_TRAVAUX&gt;1,IF(A38&lt;MOIS_TRAVAUX,HONO_AVANT/(MOIS_TRAVAUX-1),IF(A38&lt;=MOIS_ACHEVEMENT,(1-HONO_AVANT)/DUREE_CHANTIER,0)),IF(A38&lt;=MOIS_ACHEVEMENT,1/DUREE_CHANTIER,0))</f>
        <v>0</v>
      </c>
      <c r="M38" s="29" t="n">
        <f aca="false">IF(A38=MOIS_TRAVAUX,(SDP*COUT_M2+VRD)*ASSURANCES,0)</f>
        <v>0</v>
      </c>
      <c r="N38" s="29" t="n">
        <f aca="false">CA_HT*COMMERCIALISATION*(D38-D37)+IF(AND(A38&gt;=MOIS_VENTES,A38&lt;=MOIS_VENTES+DUREE_VENTES),PUBLICITE/(DUREE_VENTES+1),0)</f>
        <v>0</v>
      </c>
      <c r="O38" s="29" t="n">
        <f aca="false">IF(A38&lt;=MOIS_LIVRAISON,CA_HT*GESTION/MOIS_LIVRAISON,0)</f>
        <v>0</v>
      </c>
      <c r="P38" s="29" t="n">
        <f aca="false">IF(A38=MOIS_TERRAIN,FRAIS_DOSSIER,0)+IF(AND(A38&gt;=MOIS_TRAVAUX,A38&lt;=MOIS_ACHEVEMENT),GFA_MONTANT*GFA_TAUX/12,0)</f>
        <v>0</v>
      </c>
      <c r="Q38" s="29" t="n">
        <f aca="false">(K38+L38+N38)*TVA_ACHATS</f>
        <v>0</v>
      </c>
      <c r="R38" s="29" t="n">
        <f aca="false">G38*TVA/(1+TVA)</f>
        <v>0</v>
      </c>
      <c r="S38" s="29" t="n">
        <f aca="false">MAX(0,R38-Q38-T37)</f>
        <v>0</v>
      </c>
      <c r="T38" s="29" t="n">
        <f aca="false">MAX(0,T37+Q38-R38)</f>
        <v>0</v>
      </c>
      <c r="U38" s="29" t="n">
        <f aca="false">S37</f>
        <v>0</v>
      </c>
      <c r="V38" s="29" t="n">
        <f aca="false">SUM(I38:Q38)+U38</f>
        <v>0</v>
      </c>
      <c r="W38" s="29" t="n">
        <f aca="false">ROUND(AA37*TAUX_CREDIT/12,2)</f>
        <v>0</v>
      </c>
      <c r="X38" s="29" t="n">
        <f aca="false">G38-V38-W38</f>
        <v>0</v>
      </c>
      <c r="Y38" s="29" t="n">
        <f aca="false">MAX(0,MIN(TRESO_MIN-(AB37+H38+X38),PLAFOND_CREDIT-AA37))</f>
        <v>0</v>
      </c>
      <c r="Z38" s="29" t="n">
        <f aca="false">MIN(AA37,MAX(0,AB37+H38+X38-TRESO_MIN))</f>
        <v>0</v>
      </c>
      <c r="AA38" s="30" t="n">
        <f aca="false">AA37+Y38-Z38</f>
        <v>0</v>
      </c>
      <c r="AB38" s="30" t="n">
        <f aca="false">AB37+H38+X38+Y38-Z38</f>
        <v>1389585.77333333</v>
      </c>
      <c r="AC38" s="30" t="n">
        <f aca="false">AC37+X38</f>
        <v>739585.773333334</v>
      </c>
      <c r="AD38" s="31" t="str">
        <f aca="false">IF(AC38=MIN($AC$6:$AC$53),"◀ POINT BAS","")</f>
        <v/>
      </c>
    </row>
    <row r="39" customFormat="false" ht="15" hidden="false" customHeight="false" outlineLevel="0" collapsed="false">
      <c r="A39" s="27" t="n">
        <v>34</v>
      </c>
      <c r="B39" s="28" t="n">
        <f aca="false">EDATE(DEBUT_PLAN,A39-1)</f>
        <v>47027</v>
      </c>
      <c r="C39" s="22" t="n">
        <f aca="false">MAX(0,MIN(1,(A39-MOIS_TRAVAUX+1)/DUREE_CHANTIER))</f>
        <v>1</v>
      </c>
      <c r="D39" s="22" t="n">
        <f aca="false">IF(A39&lt;MOIS_VENTES,0,MIN(1,PRECOMMERCIALISATION+(1-PRECOMMERCIALISATION)*IF(DUREE_VENTES&gt;0,(A39-MOIS_VENTES)/DUREE_VENTES,1)))</f>
        <v>1</v>
      </c>
      <c r="E39" s="22" t="n">
        <f aca="false">IF(A39&gt;=MOIS_LIVRAISON,APPEL_LIVRAISON,IF(C39&gt;=1,APPEL_ACHEVEMENT,IF(C39&gt;=SEUIL_HORS_EAU,APPEL_HORS_EAU,IF(C39&gt;=SEUIL_FONDATIONS,APPEL_FONDATIONS,0))))</f>
        <v>1</v>
      </c>
      <c r="F39" s="29" t="n">
        <f aca="false">ROUND(CA_TTC*D39*E39,2)</f>
        <v>6815000</v>
      </c>
      <c r="G39" s="29" t="n">
        <f aca="false">F39-F38</f>
        <v>0</v>
      </c>
      <c r="H39" s="29" t="n">
        <f aca="false">IF(A39=1,FONDS_PROPRES,0)</f>
        <v>0</v>
      </c>
      <c r="I39" s="29" t="n">
        <f aca="false">IF(A39=MOIS_TERRAIN,PRIX_TERRAIN*(1+FRAIS_ACQ),0)</f>
        <v>0</v>
      </c>
      <c r="J39" s="29" t="n">
        <f aca="false">IF(A39=MOIS_TAXES,TAXES_URBA,0)</f>
        <v>0</v>
      </c>
      <c r="K39" s="29" t="n">
        <f aca="false">IF(AND(A39&gt;=MOIS_TRAVAUX,A39&lt;=MOIS_ACHEVEMENT),TRAVAUX_HT/DUREE_CHANTIER,0)</f>
        <v>0</v>
      </c>
      <c r="L39" s="29" t="n">
        <f aca="false">(SDP*COUT_M2+VRD)*HONORAIRES*IF(MOIS_TRAVAUX&gt;1,IF(A39&lt;MOIS_TRAVAUX,HONO_AVANT/(MOIS_TRAVAUX-1),IF(A39&lt;=MOIS_ACHEVEMENT,(1-HONO_AVANT)/DUREE_CHANTIER,0)),IF(A39&lt;=MOIS_ACHEVEMENT,1/DUREE_CHANTIER,0))</f>
        <v>0</v>
      </c>
      <c r="M39" s="29" t="n">
        <f aca="false">IF(A39=MOIS_TRAVAUX,(SDP*COUT_M2+VRD)*ASSURANCES,0)</f>
        <v>0</v>
      </c>
      <c r="N39" s="29" t="n">
        <f aca="false">CA_HT*COMMERCIALISATION*(D39-D38)+IF(AND(A39&gt;=MOIS_VENTES,A39&lt;=MOIS_VENTES+DUREE_VENTES),PUBLICITE/(DUREE_VENTES+1),0)</f>
        <v>0</v>
      </c>
      <c r="O39" s="29" t="n">
        <f aca="false">IF(A39&lt;=MOIS_LIVRAISON,CA_HT*GESTION/MOIS_LIVRAISON,0)</f>
        <v>0</v>
      </c>
      <c r="P39" s="29" t="n">
        <f aca="false">IF(A39=MOIS_TERRAIN,FRAIS_DOSSIER,0)+IF(AND(A39&gt;=MOIS_TRAVAUX,A39&lt;=MOIS_ACHEVEMENT),GFA_MONTANT*GFA_TAUX/12,0)</f>
        <v>0</v>
      </c>
      <c r="Q39" s="29" t="n">
        <f aca="false">(K39+L39+N39)*TVA_ACHATS</f>
        <v>0</v>
      </c>
      <c r="R39" s="29" t="n">
        <f aca="false">G39*TVA/(1+TVA)</f>
        <v>0</v>
      </c>
      <c r="S39" s="29" t="n">
        <f aca="false">MAX(0,R39-Q39-T38)</f>
        <v>0</v>
      </c>
      <c r="T39" s="29" t="n">
        <f aca="false">MAX(0,T38+Q39-R39)</f>
        <v>0</v>
      </c>
      <c r="U39" s="29" t="n">
        <f aca="false">S38</f>
        <v>0</v>
      </c>
      <c r="V39" s="29" t="n">
        <f aca="false">SUM(I39:Q39)+U39</f>
        <v>0</v>
      </c>
      <c r="W39" s="29" t="n">
        <f aca="false">ROUND(AA38*TAUX_CREDIT/12,2)</f>
        <v>0</v>
      </c>
      <c r="X39" s="29" t="n">
        <f aca="false">G39-V39-W39</f>
        <v>0</v>
      </c>
      <c r="Y39" s="29" t="n">
        <f aca="false">MAX(0,MIN(TRESO_MIN-(AB38+H39+X39),PLAFOND_CREDIT-AA38))</f>
        <v>0</v>
      </c>
      <c r="Z39" s="29" t="n">
        <f aca="false">MIN(AA38,MAX(0,AB38+H39+X39-TRESO_MIN))</f>
        <v>0</v>
      </c>
      <c r="AA39" s="30" t="n">
        <f aca="false">AA38+Y39-Z39</f>
        <v>0</v>
      </c>
      <c r="AB39" s="30" t="n">
        <f aca="false">AB38+H39+X39+Y39-Z39</f>
        <v>1389585.77333333</v>
      </c>
      <c r="AC39" s="30" t="n">
        <f aca="false">AC38+X39</f>
        <v>739585.773333334</v>
      </c>
      <c r="AD39" s="31" t="str">
        <f aca="false">IF(AC39=MIN($AC$6:$AC$53),"◀ POINT BAS","")</f>
        <v/>
      </c>
    </row>
    <row r="40" customFormat="false" ht="15" hidden="false" customHeight="false" outlineLevel="0" collapsed="false">
      <c r="A40" s="27" t="n">
        <v>35</v>
      </c>
      <c r="B40" s="28" t="n">
        <f aca="false">EDATE(DEBUT_PLAN,A40-1)</f>
        <v>47058</v>
      </c>
      <c r="C40" s="22" t="n">
        <f aca="false">MAX(0,MIN(1,(A40-MOIS_TRAVAUX+1)/DUREE_CHANTIER))</f>
        <v>1</v>
      </c>
      <c r="D40" s="22" t="n">
        <f aca="false">IF(A40&lt;MOIS_VENTES,0,MIN(1,PRECOMMERCIALISATION+(1-PRECOMMERCIALISATION)*IF(DUREE_VENTES&gt;0,(A40-MOIS_VENTES)/DUREE_VENTES,1)))</f>
        <v>1</v>
      </c>
      <c r="E40" s="22" t="n">
        <f aca="false">IF(A40&gt;=MOIS_LIVRAISON,APPEL_LIVRAISON,IF(C40&gt;=1,APPEL_ACHEVEMENT,IF(C40&gt;=SEUIL_HORS_EAU,APPEL_HORS_EAU,IF(C40&gt;=SEUIL_FONDATIONS,APPEL_FONDATIONS,0))))</f>
        <v>1</v>
      </c>
      <c r="F40" s="29" t="n">
        <f aca="false">ROUND(CA_TTC*D40*E40,2)</f>
        <v>6815000</v>
      </c>
      <c r="G40" s="29" t="n">
        <f aca="false">F40-F39</f>
        <v>0</v>
      </c>
      <c r="H40" s="29" t="n">
        <f aca="false">IF(A40=1,FONDS_PROPRES,0)</f>
        <v>0</v>
      </c>
      <c r="I40" s="29" t="n">
        <f aca="false">IF(A40=MOIS_TERRAIN,PRIX_TERRAIN*(1+FRAIS_ACQ),0)</f>
        <v>0</v>
      </c>
      <c r="J40" s="29" t="n">
        <f aca="false">IF(A40=MOIS_TAXES,TAXES_URBA,0)</f>
        <v>0</v>
      </c>
      <c r="K40" s="29" t="n">
        <f aca="false">IF(AND(A40&gt;=MOIS_TRAVAUX,A40&lt;=MOIS_ACHEVEMENT),TRAVAUX_HT/DUREE_CHANTIER,0)</f>
        <v>0</v>
      </c>
      <c r="L40" s="29" t="n">
        <f aca="false">(SDP*COUT_M2+VRD)*HONORAIRES*IF(MOIS_TRAVAUX&gt;1,IF(A40&lt;MOIS_TRAVAUX,HONO_AVANT/(MOIS_TRAVAUX-1),IF(A40&lt;=MOIS_ACHEVEMENT,(1-HONO_AVANT)/DUREE_CHANTIER,0)),IF(A40&lt;=MOIS_ACHEVEMENT,1/DUREE_CHANTIER,0))</f>
        <v>0</v>
      </c>
      <c r="M40" s="29" t="n">
        <f aca="false">IF(A40=MOIS_TRAVAUX,(SDP*COUT_M2+VRD)*ASSURANCES,0)</f>
        <v>0</v>
      </c>
      <c r="N40" s="29" t="n">
        <f aca="false">CA_HT*COMMERCIALISATION*(D40-D39)+IF(AND(A40&gt;=MOIS_VENTES,A40&lt;=MOIS_VENTES+DUREE_VENTES),PUBLICITE/(DUREE_VENTES+1),0)</f>
        <v>0</v>
      </c>
      <c r="O40" s="29" t="n">
        <f aca="false">IF(A40&lt;=MOIS_LIVRAISON,CA_HT*GESTION/MOIS_LIVRAISON,0)</f>
        <v>0</v>
      </c>
      <c r="P40" s="29" t="n">
        <f aca="false">IF(A40=MOIS_TERRAIN,FRAIS_DOSSIER,0)+IF(AND(A40&gt;=MOIS_TRAVAUX,A40&lt;=MOIS_ACHEVEMENT),GFA_MONTANT*GFA_TAUX/12,0)</f>
        <v>0</v>
      </c>
      <c r="Q40" s="29" t="n">
        <f aca="false">(K40+L40+N40)*TVA_ACHATS</f>
        <v>0</v>
      </c>
      <c r="R40" s="29" t="n">
        <f aca="false">G40*TVA/(1+TVA)</f>
        <v>0</v>
      </c>
      <c r="S40" s="29" t="n">
        <f aca="false">MAX(0,R40-Q40-T39)</f>
        <v>0</v>
      </c>
      <c r="T40" s="29" t="n">
        <f aca="false">MAX(0,T39+Q40-R40)</f>
        <v>0</v>
      </c>
      <c r="U40" s="29" t="n">
        <f aca="false">S39</f>
        <v>0</v>
      </c>
      <c r="V40" s="29" t="n">
        <f aca="false">SUM(I40:Q40)+U40</f>
        <v>0</v>
      </c>
      <c r="W40" s="29" t="n">
        <f aca="false">ROUND(AA39*TAUX_CREDIT/12,2)</f>
        <v>0</v>
      </c>
      <c r="X40" s="29" t="n">
        <f aca="false">G40-V40-W40</f>
        <v>0</v>
      </c>
      <c r="Y40" s="29" t="n">
        <f aca="false">MAX(0,MIN(TRESO_MIN-(AB39+H40+X40),PLAFOND_CREDIT-AA39))</f>
        <v>0</v>
      </c>
      <c r="Z40" s="29" t="n">
        <f aca="false">MIN(AA39,MAX(0,AB39+H40+X40-TRESO_MIN))</f>
        <v>0</v>
      </c>
      <c r="AA40" s="30" t="n">
        <f aca="false">AA39+Y40-Z40</f>
        <v>0</v>
      </c>
      <c r="AB40" s="30" t="n">
        <f aca="false">AB39+H40+X40+Y40-Z40</f>
        <v>1389585.77333333</v>
      </c>
      <c r="AC40" s="30" t="n">
        <f aca="false">AC39+X40</f>
        <v>739585.773333334</v>
      </c>
      <c r="AD40" s="31" t="str">
        <f aca="false">IF(AC40=MIN($AC$6:$AC$53),"◀ POINT BAS","")</f>
        <v/>
      </c>
    </row>
    <row r="41" customFormat="false" ht="15" hidden="false" customHeight="false" outlineLevel="0" collapsed="false">
      <c r="A41" s="27" t="n">
        <v>36</v>
      </c>
      <c r="B41" s="28" t="n">
        <f aca="false">EDATE(DEBUT_PLAN,A41-1)</f>
        <v>47088</v>
      </c>
      <c r="C41" s="22" t="n">
        <f aca="false">MAX(0,MIN(1,(A41-MOIS_TRAVAUX+1)/DUREE_CHANTIER))</f>
        <v>1</v>
      </c>
      <c r="D41" s="22" t="n">
        <f aca="false">IF(A41&lt;MOIS_VENTES,0,MIN(1,PRECOMMERCIALISATION+(1-PRECOMMERCIALISATION)*IF(DUREE_VENTES&gt;0,(A41-MOIS_VENTES)/DUREE_VENTES,1)))</f>
        <v>1</v>
      </c>
      <c r="E41" s="22" t="n">
        <f aca="false">IF(A41&gt;=MOIS_LIVRAISON,APPEL_LIVRAISON,IF(C41&gt;=1,APPEL_ACHEVEMENT,IF(C41&gt;=SEUIL_HORS_EAU,APPEL_HORS_EAU,IF(C41&gt;=SEUIL_FONDATIONS,APPEL_FONDATIONS,0))))</f>
        <v>1</v>
      </c>
      <c r="F41" s="29" t="n">
        <f aca="false">ROUND(CA_TTC*D41*E41,2)</f>
        <v>6815000</v>
      </c>
      <c r="G41" s="29" t="n">
        <f aca="false">F41-F40</f>
        <v>0</v>
      </c>
      <c r="H41" s="29" t="n">
        <f aca="false">IF(A41=1,FONDS_PROPRES,0)</f>
        <v>0</v>
      </c>
      <c r="I41" s="29" t="n">
        <f aca="false">IF(A41=MOIS_TERRAIN,PRIX_TERRAIN*(1+FRAIS_ACQ),0)</f>
        <v>0</v>
      </c>
      <c r="J41" s="29" t="n">
        <f aca="false">IF(A41=MOIS_TAXES,TAXES_URBA,0)</f>
        <v>0</v>
      </c>
      <c r="K41" s="29" t="n">
        <f aca="false">IF(AND(A41&gt;=MOIS_TRAVAUX,A41&lt;=MOIS_ACHEVEMENT),TRAVAUX_HT/DUREE_CHANTIER,0)</f>
        <v>0</v>
      </c>
      <c r="L41" s="29" t="n">
        <f aca="false">(SDP*COUT_M2+VRD)*HONORAIRES*IF(MOIS_TRAVAUX&gt;1,IF(A41&lt;MOIS_TRAVAUX,HONO_AVANT/(MOIS_TRAVAUX-1),IF(A41&lt;=MOIS_ACHEVEMENT,(1-HONO_AVANT)/DUREE_CHANTIER,0)),IF(A41&lt;=MOIS_ACHEVEMENT,1/DUREE_CHANTIER,0))</f>
        <v>0</v>
      </c>
      <c r="M41" s="29" t="n">
        <f aca="false">IF(A41=MOIS_TRAVAUX,(SDP*COUT_M2+VRD)*ASSURANCES,0)</f>
        <v>0</v>
      </c>
      <c r="N41" s="29" t="n">
        <f aca="false">CA_HT*COMMERCIALISATION*(D41-D40)+IF(AND(A41&gt;=MOIS_VENTES,A41&lt;=MOIS_VENTES+DUREE_VENTES),PUBLICITE/(DUREE_VENTES+1),0)</f>
        <v>0</v>
      </c>
      <c r="O41" s="29" t="n">
        <f aca="false">IF(A41&lt;=MOIS_LIVRAISON,CA_HT*GESTION/MOIS_LIVRAISON,0)</f>
        <v>0</v>
      </c>
      <c r="P41" s="29" t="n">
        <f aca="false">IF(A41=MOIS_TERRAIN,FRAIS_DOSSIER,0)+IF(AND(A41&gt;=MOIS_TRAVAUX,A41&lt;=MOIS_ACHEVEMENT),GFA_MONTANT*GFA_TAUX/12,0)</f>
        <v>0</v>
      </c>
      <c r="Q41" s="29" t="n">
        <f aca="false">(K41+L41+N41)*TVA_ACHATS</f>
        <v>0</v>
      </c>
      <c r="R41" s="29" t="n">
        <f aca="false">G41*TVA/(1+TVA)</f>
        <v>0</v>
      </c>
      <c r="S41" s="29" t="n">
        <f aca="false">MAX(0,R41-Q41-T40)</f>
        <v>0</v>
      </c>
      <c r="T41" s="29" t="n">
        <f aca="false">MAX(0,T40+Q41-R41)</f>
        <v>0</v>
      </c>
      <c r="U41" s="29" t="n">
        <f aca="false">S40</f>
        <v>0</v>
      </c>
      <c r="V41" s="29" t="n">
        <f aca="false">SUM(I41:Q41)+U41</f>
        <v>0</v>
      </c>
      <c r="W41" s="29" t="n">
        <f aca="false">ROUND(AA40*TAUX_CREDIT/12,2)</f>
        <v>0</v>
      </c>
      <c r="X41" s="29" t="n">
        <f aca="false">G41-V41-W41</f>
        <v>0</v>
      </c>
      <c r="Y41" s="29" t="n">
        <f aca="false">MAX(0,MIN(TRESO_MIN-(AB40+H41+X41),PLAFOND_CREDIT-AA40))</f>
        <v>0</v>
      </c>
      <c r="Z41" s="29" t="n">
        <f aca="false">MIN(AA40,MAX(0,AB40+H41+X41-TRESO_MIN))</f>
        <v>0</v>
      </c>
      <c r="AA41" s="30" t="n">
        <f aca="false">AA40+Y41-Z41</f>
        <v>0</v>
      </c>
      <c r="AB41" s="30" t="n">
        <f aca="false">AB40+H41+X41+Y41-Z41</f>
        <v>1389585.77333333</v>
      </c>
      <c r="AC41" s="30" t="n">
        <f aca="false">AC40+X41</f>
        <v>739585.773333334</v>
      </c>
      <c r="AD41" s="31" t="str">
        <f aca="false">IF(AC41=MIN($AC$6:$AC$53),"◀ POINT BAS","")</f>
        <v/>
      </c>
    </row>
    <row r="42" customFormat="false" ht="15" hidden="false" customHeight="false" outlineLevel="0" collapsed="false">
      <c r="A42" s="27" t="n">
        <v>37</v>
      </c>
      <c r="B42" s="28" t="n">
        <f aca="false">EDATE(DEBUT_PLAN,A42-1)</f>
        <v>47119</v>
      </c>
      <c r="C42" s="22" t="n">
        <f aca="false">MAX(0,MIN(1,(A42-MOIS_TRAVAUX+1)/DUREE_CHANTIER))</f>
        <v>1</v>
      </c>
      <c r="D42" s="22" t="n">
        <f aca="false">IF(A42&lt;MOIS_VENTES,0,MIN(1,PRECOMMERCIALISATION+(1-PRECOMMERCIALISATION)*IF(DUREE_VENTES&gt;0,(A42-MOIS_VENTES)/DUREE_VENTES,1)))</f>
        <v>1</v>
      </c>
      <c r="E42" s="22" t="n">
        <f aca="false">IF(A42&gt;=MOIS_LIVRAISON,APPEL_LIVRAISON,IF(C42&gt;=1,APPEL_ACHEVEMENT,IF(C42&gt;=SEUIL_HORS_EAU,APPEL_HORS_EAU,IF(C42&gt;=SEUIL_FONDATIONS,APPEL_FONDATIONS,0))))</f>
        <v>1</v>
      </c>
      <c r="F42" s="29" t="n">
        <f aca="false">ROUND(CA_TTC*D42*E42,2)</f>
        <v>6815000</v>
      </c>
      <c r="G42" s="29" t="n">
        <f aca="false">F42-F41</f>
        <v>0</v>
      </c>
      <c r="H42" s="29" t="n">
        <f aca="false">IF(A42=1,FONDS_PROPRES,0)</f>
        <v>0</v>
      </c>
      <c r="I42" s="29" t="n">
        <f aca="false">IF(A42=MOIS_TERRAIN,PRIX_TERRAIN*(1+FRAIS_ACQ),0)</f>
        <v>0</v>
      </c>
      <c r="J42" s="29" t="n">
        <f aca="false">IF(A42=MOIS_TAXES,TAXES_URBA,0)</f>
        <v>0</v>
      </c>
      <c r="K42" s="29" t="n">
        <f aca="false">IF(AND(A42&gt;=MOIS_TRAVAUX,A42&lt;=MOIS_ACHEVEMENT),TRAVAUX_HT/DUREE_CHANTIER,0)</f>
        <v>0</v>
      </c>
      <c r="L42" s="29" t="n">
        <f aca="false">(SDP*COUT_M2+VRD)*HONORAIRES*IF(MOIS_TRAVAUX&gt;1,IF(A42&lt;MOIS_TRAVAUX,HONO_AVANT/(MOIS_TRAVAUX-1),IF(A42&lt;=MOIS_ACHEVEMENT,(1-HONO_AVANT)/DUREE_CHANTIER,0)),IF(A42&lt;=MOIS_ACHEVEMENT,1/DUREE_CHANTIER,0))</f>
        <v>0</v>
      </c>
      <c r="M42" s="29" t="n">
        <f aca="false">IF(A42=MOIS_TRAVAUX,(SDP*COUT_M2+VRD)*ASSURANCES,0)</f>
        <v>0</v>
      </c>
      <c r="N42" s="29" t="n">
        <f aca="false">CA_HT*COMMERCIALISATION*(D42-D41)+IF(AND(A42&gt;=MOIS_VENTES,A42&lt;=MOIS_VENTES+DUREE_VENTES),PUBLICITE/(DUREE_VENTES+1),0)</f>
        <v>0</v>
      </c>
      <c r="O42" s="29" t="n">
        <f aca="false">IF(A42&lt;=MOIS_LIVRAISON,CA_HT*GESTION/MOIS_LIVRAISON,0)</f>
        <v>0</v>
      </c>
      <c r="P42" s="29" t="n">
        <f aca="false">IF(A42=MOIS_TERRAIN,FRAIS_DOSSIER,0)+IF(AND(A42&gt;=MOIS_TRAVAUX,A42&lt;=MOIS_ACHEVEMENT),GFA_MONTANT*GFA_TAUX/12,0)</f>
        <v>0</v>
      </c>
      <c r="Q42" s="29" t="n">
        <f aca="false">(K42+L42+N42)*TVA_ACHATS</f>
        <v>0</v>
      </c>
      <c r="R42" s="29" t="n">
        <f aca="false">G42*TVA/(1+TVA)</f>
        <v>0</v>
      </c>
      <c r="S42" s="29" t="n">
        <f aca="false">MAX(0,R42-Q42-T41)</f>
        <v>0</v>
      </c>
      <c r="T42" s="29" t="n">
        <f aca="false">MAX(0,T41+Q42-R42)</f>
        <v>0</v>
      </c>
      <c r="U42" s="29" t="n">
        <f aca="false">S41</f>
        <v>0</v>
      </c>
      <c r="V42" s="29" t="n">
        <f aca="false">SUM(I42:Q42)+U42</f>
        <v>0</v>
      </c>
      <c r="W42" s="29" t="n">
        <f aca="false">ROUND(AA41*TAUX_CREDIT/12,2)</f>
        <v>0</v>
      </c>
      <c r="X42" s="29" t="n">
        <f aca="false">G42-V42-W42</f>
        <v>0</v>
      </c>
      <c r="Y42" s="29" t="n">
        <f aca="false">MAX(0,MIN(TRESO_MIN-(AB41+H42+X42),PLAFOND_CREDIT-AA41))</f>
        <v>0</v>
      </c>
      <c r="Z42" s="29" t="n">
        <f aca="false">MIN(AA41,MAX(0,AB41+H42+X42-TRESO_MIN))</f>
        <v>0</v>
      </c>
      <c r="AA42" s="30" t="n">
        <f aca="false">AA41+Y42-Z42</f>
        <v>0</v>
      </c>
      <c r="AB42" s="30" t="n">
        <f aca="false">AB41+H42+X42+Y42-Z42</f>
        <v>1389585.77333333</v>
      </c>
      <c r="AC42" s="30" t="n">
        <f aca="false">AC41+X42</f>
        <v>739585.773333334</v>
      </c>
      <c r="AD42" s="31" t="str">
        <f aca="false">IF(AC42=MIN($AC$6:$AC$53),"◀ POINT BAS","")</f>
        <v/>
      </c>
    </row>
    <row r="43" customFormat="false" ht="15" hidden="false" customHeight="false" outlineLevel="0" collapsed="false">
      <c r="A43" s="27" t="n">
        <v>38</v>
      </c>
      <c r="B43" s="28" t="n">
        <f aca="false">EDATE(DEBUT_PLAN,A43-1)</f>
        <v>47150</v>
      </c>
      <c r="C43" s="22" t="n">
        <f aca="false">MAX(0,MIN(1,(A43-MOIS_TRAVAUX+1)/DUREE_CHANTIER))</f>
        <v>1</v>
      </c>
      <c r="D43" s="22" t="n">
        <f aca="false">IF(A43&lt;MOIS_VENTES,0,MIN(1,PRECOMMERCIALISATION+(1-PRECOMMERCIALISATION)*IF(DUREE_VENTES&gt;0,(A43-MOIS_VENTES)/DUREE_VENTES,1)))</f>
        <v>1</v>
      </c>
      <c r="E43" s="22" t="n">
        <f aca="false">IF(A43&gt;=MOIS_LIVRAISON,APPEL_LIVRAISON,IF(C43&gt;=1,APPEL_ACHEVEMENT,IF(C43&gt;=SEUIL_HORS_EAU,APPEL_HORS_EAU,IF(C43&gt;=SEUIL_FONDATIONS,APPEL_FONDATIONS,0))))</f>
        <v>1</v>
      </c>
      <c r="F43" s="29" t="n">
        <f aca="false">ROUND(CA_TTC*D43*E43,2)</f>
        <v>6815000</v>
      </c>
      <c r="G43" s="29" t="n">
        <f aca="false">F43-F42</f>
        <v>0</v>
      </c>
      <c r="H43" s="29" t="n">
        <f aca="false">IF(A43=1,FONDS_PROPRES,0)</f>
        <v>0</v>
      </c>
      <c r="I43" s="29" t="n">
        <f aca="false">IF(A43=MOIS_TERRAIN,PRIX_TERRAIN*(1+FRAIS_ACQ),0)</f>
        <v>0</v>
      </c>
      <c r="J43" s="29" t="n">
        <f aca="false">IF(A43=MOIS_TAXES,TAXES_URBA,0)</f>
        <v>0</v>
      </c>
      <c r="K43" s="29" t="n">
        <f aca="false">IF(AND(A43&gt;=MOIS_TRAVAUX,A43&lt;=MOIS_ACHEVEMENT),TRAVAUX_HT/DUREE_CHANTIER,0)</f>
        <v>0</v>
      </c>
      <c r="L43" s="29" t="n">
        <f aca="false">(SDP*COUT_M2+VRD)*HONORAIRES*IF(MOIS_TRAVAUX&gt;1,IF(A43&lt;MOIS_TRAVAUX,HONO_AVANT/(MOIS_TRAVAUX-1),IF(A43&lt;=MOIS_ACHEVEMENT,(1-HONO_AVANT)/DUREE_CHANTIER,0)),IF(A43&lt;=MOIS_ACHEVEMENT,1/DUREE_CHANTIER,0))</f>
        <v>0</v>
      </c>
      <c r="M43" s="29" t="n">
        <f aca="false">IF(A43=MOIS_TRAVAUX,(SDP*COUT_M2+VRD)*ASSURANCES,0)</f>
        <v>0</v>
      </c>
      <c r="N43" s="29" t="n">
        <f aca="false">CA_HT*COMMERCIALISATION*(D43-D42)+IF(AND(A43&gt;=MOIS_VENTES,A43&lt;=MOIS_VENTES+DUREE_VENTES),PUBLICITE/(DUREE_VENTES+1),0)</f>
        <v>0</v>
      </c>
      <c r="O43" s="29" t="n">
        <f aca="false">IF(A43&lt;=MOIS_LIVRAISON,CA_HT*GESTION/MOIS_LIVRAISON,0)</f>
        <v>0</v>
      </c>
      <c r="P43" s="29" t="n">
        <f aca="false">IF(A43=MOIS_TERRAIN,FRAIS_DOSSIER,0)+IF(AND(A43&gt;=MOIS_TRAVAUX,A43&lt;=MOIS_ACHEVEMENT),GFA_MONTANT*GFA_TAUX/12,0)</f>
        <v>0</v>
      </c>
      <c r="Q43" s="29" t="n">
        <f aca="false">(K43+L43+N43)*TVA_ACHATS</f>
        <v>0</v>
      </c>
      <c r="R43" s="29" t="n">
        <f aca="false">G43*TVA/(1+TVA)</f>
        <v>0</v>
      </c>
      <c r="S43" s="29" t="n">
        <f aca="false">MAX(0,R43-Q43-T42)</f>
        <v>0</v>
      </c>
      <c r="T43" s="29" t="n">
        <f aca="false">MAX(0,T42+Q43-R43)</f>
        <v>0</v>
      </c>
      <c r="U43" s="29" t="n">
        <f aca="false">S42</f>
        <v>0</v>
      </c>
      <c r="V43" s="29" t="n">
        <f aca="false">SUM(I43:Q43)+U43</f>
        <v>0</v>
      </c>
      <c r="W43" s="29" t="n">
        <f aca="false">ROUND(AA42*TAUX_CREDIT/12,2)</f>
        <v>0</v>
      </c>
      <c r="X43" s="29" t="n">
        <f aca="false">G43-V43-W43</f>
        <v>0</v>
      </c>
      <c r="Y43" s="29" t="n">
        <f aca="false">MAX(0,MIN(TRESO_MIN-(AB42+H43+X43),PLAFOND_CREDIT-AA42))</f>
        <v>0</v>
      </c>
      <c r="Z43" s="29" t="n">
        <f aca="false">MIN(AA42,MAX(0,AB42+H43+X43-TRESO_MIN))</f>
        <v>0</v>
      </c>
      <c r="AA43" s="30" t="n">
        <f aca="false">AA42+Y43-Z43</f>
        <v>0</v>
      </c>
      <c r="AB43" s="30" t="n">
        <f aca="false">AB42+H43+X43+Y43-Z43</f>
        <v>1389585.77333333</v>
      </c>
      <c r="AC43" s="30" t="n">
        <f aca="false">AC42+X43</f>
        <v>739585.773333334</v>
      </c>
      <c r="AD43" s="31" t="str">
        <f aca="false">IF(AC43=MIN($AC$6:$AC$53),"◀ POINT BAS","")</f>
        <v/>
      </c>
    </row>
    <row r="44" customFormat="false" ht="15" hidden="false" customHeight="false" outlineLevel="0" collapsed="false">
      <c r="A44" s="27" t="n">
        <v>39</v>
      </c>
      <c r="B44" s="28" t="n">
        <f aca="false">EDATE(DEBUT_PLAN,A44-1)</f>
        <v>47178</v>
      </c>
      <c r="C44" s="22" t="n">
        <f aca="false">MAX(0,MIN(1,(A44-MOIS_TRAVAUX+1)/DUREE_CHANTIER))</f>
        <v>1</v>
      </c>
      <c r="D44" s="22" t="n">
        <f aca="false">IF(A44&lt;MOIS_VENTES,0,MIN(1,PRECOMMERCIALISATION+(1-PRECOMMERCIALISATION)*IF(DUREE_VENTES&gt;0,(A44-MOIS_VENTES)/DUREE_VENTES,1)))</f>
        <v>1</v>
      </c>
      <c r="E44" s="22" t="n">
        <f aca="false">IF(A44&gt;=MOIS_LIVRAISON,APPEL_LIVRAISON,IF(C44&gt;=1,APPEL_ACHEVEMENT,IF(C44&gt;=SEUIL_HORS_EAU,APPEL_HORS_EAU,IF(C44&gt;=SEUIL_FONDATIONS,APPEL_FONDATIONS,0))))</f>
        <v>1</v>
      </c>
      <c r="F44" s="29" t="n">
        <f aca="false">ROUND(CA_TTC*D44*E44,2)</f>
        <v>6815000</v>
      </c>
      <c r="G44" s="29" t="n">
        <f aca="false">F44-F43</f>
        <v>0</v>
      </c>
      <c r="H44" s="29" t="n">
        <f aca="false">IF(A44=1,FONDS_PROPRES,0)</f>
        <v>0</v>
      </c>
      <c r="I44" s="29" t="n">
        <f aca="false">IF(A44=MOIS_TERRAIN,PRIX_TERRAIN*(1+FRAIS_ACQ),0)</f>
        <v>0</v>
      </c>
      <c r="J44" s="29" t="n">
        <f aca="false">IF(A44=MOIS_TAXES,TAXES_URBA,0)</f>
        <v>0</v>
      </c>
      <c r="K44" s="29" t="n">
        <f aca="false">IF(AND(A44&gt;=MOIS_TRAVAUX,A44&lt;=MOIS_ACHEVEMENT),TRAVAUX_HT/DUREE_CHANTIER,0)</f>
        <v>0</v>
      </c>
      <c r="L44" s="29" t="n">
        <f aca="false">(SDP*COUT_M2+VRD)*HONORAIRES*IF(MOIS_TRAVAUX&gt;1,IF(A44&lt;MOIS_TRAVAUX,HONO_AVANT/(MOIS_TRAVAUX-1),IF(A44&lt;=MOIS_ACHEVEMENT,(1-HONO_AVANT)/DUREE_CHANTIER,0)),IF(A44&lt;=MOIS_ACHEVEMENT,1/DUREE_CHANTIER,0))</f>
        <v>0</v>
      </c>
      <c r="M44" s="29" t="n">
        <f aca="false">IF(A44=MOIS_TRAVAUX,(SDP*COUT_M2+VRD)*ASSURANCES,0)</f>
        <v>0</v>
      </c>
      <c r="N44" s="29" t="n">
        <f aca="false">CA_HT*COMMERCIALISATION*(D44-D43)+IF(AND(A44&gt;=MOIS_VENTES,A44&lt;=MOIS_VENTES+DUREE_VENTES),PUBLICITE/(DUREE_VENTES+1),0)</f>
        <v>0</v>
      </c>
      <c r="O44" s="29" t="n">
        <f aca="false">IF(A44&lt;=MOIS_LIVRAISON,CA_HT*GESTION/MOIS_LIVRAISON,0)</f>
        <v>0</v>
      </c>
      <c r="P44" s="29" t="n">
        <f aca="false">IF(A44=MOIS_TERRAIN,FRAIS_DOSSIER,0)+IF(AND(A44&gt;=MOIS_TRAVAUX,A44&lt;=MOIS_ACHEVEMENT),GFA_MONTANT*GFA_TAUX/12,0)</f>
        <v>0</v>
      </c>
      <c r="Q44" s="29" t="n">
        <f aca="false">(K44+L44+N44)*TVA_ACHATS</f>
        <v>0</v>
      </c>
      <c r="R44" s="29" t="n">
        <f aca="false">G44*TVA/(1+TVA)</f>
        <v>0</v>
      </c>
      <c r="S44" s="29" t="n">
        <f aca="false">MAX(0,R44-Q44-T43)</f>
        <v>0</v>
      </c>
      <c r="T44" s="29" t="n">
        <f aca="false">MAX(0,T43+Q44-R44)</f>
        <v>0</v>
      </c>
      <c r="U44" s="29" t="n">
        <f aca="false">S43</f>
        <v>0</v>
      </c>
      <c r="V44" s="29" t="n">
        <f aca="false">SUM(I44:Q44)+U44</f>
        <v>0</v>
      </c>
      <c r="W44" s="29" t="n">
        <f aca="false">ROUND(AA43*TAUX_CREDIT/12,2)</f>
        <v>0</v>
      </c>
      <c r="X44" s="29" t="n">
        <f aca="false">G44-V44-W44</f>
        <v>0</v>
      </c>
      <c r="Y44" s="29" t="n">
        <f aca="false">MAX(0,MIN(TRESO_MIN-(AB43+H44+X44),PLAFOND_CREDIT-AA43))</f>
        <v>0</v>
      </c>
      <c r="Z44" s="29" t="n">
        <f aca="false">MIN(AA43,MAX(0,AB43+H44+X44-TRESO_MIN))</f>
        <v>0</v>
      </c>
      <c r="AA44" s="30" t="n">
        <f aca="false">AA43+Y44-Z44</f>
        <v>0</v>
      </c>
      <c r="AB44" s="30" t="n">
        <f aca="false">AB43+H44+X44+Y44-Z44</f>
        <v>1389585.77333333</v>
      </c>
      <c r="AC44" s="30" t="n">
        <f aca="false">AC43+X44</f>
        <v>739585.773333334</v>
      </c>
      <c r="AD44" s="31" t="str">
        <f aca="false">IF(AC44=MIN($AC$6:$AC$53),"◀ POINT BAS","")</f>
        <v/>
      </c>
    </row>
    <row r="45" customFormat="false" ht="15" hidden="false" customHeight="false" outlineLevel="0" collapsed="false">
      <c r="A45" s="27" t="n">
        <v>40</v>
      </c>
      <c r="B45" s="28" t="n">
        <f aca="false">EDATE(DEBUT_PLAN,A45-1)</f>
        <v>47209</v>
      </c>
      <c r="C45" s="22" t="n">
        <f aca="false">MAX(0,MIN(1,(A45-MOIS_TRAVAUX+1)/DUREE_CHANTIER))</f>
        <v>1</v>
      </c>
      <c r="D45" s="22" t="n">
        <f aca="false">IF(A45&lt;MOIS_VENTES,0,MIN(1,PRECOMMERCIALISATION+(1-PRECOMMERCIALISATION)*IF(DUREE_VENTES&gt;0,(A45-MOIS_VENTES)/DUREE_VENTES,1)))</f>
        <v>1</v>
      </c>
      <c r="E45" s="22" t="n">
        <f aca="false">IF(A45&gt;=MOIS_LIVRAISON,APPEL_LIVRAISON,IF(C45&gt;=1,APPEL_ACHEVEMENT,IF(C45&gt;=SEUIL_HORS_EAU,APPEL_HORS_EAU,IF(C45&gt;=SEUIL_FONDATIONS,APPEL_FONDATIONS,0))))</f>
        <v>1</v>
      </c>
      <c r="F45" s="29" t="n">
        <f aca="false">ROUND(CA_TTC*D45*E45,2)</f>
        <v>6815000</v>
      </c>
      <c r="G45" s="29" t="n">
        <f aca="false">F45-F44</f>
        <v>0</v>
      </c>
      <c r="H45" s="29" t="n">
        <f aca="false">IF(A45=1,FONDS_PROPRES,0)</f>
        <v>0</v>
      </c>
      <c r="I45" s="29" t="n">
        <f aca="false">IF(A45=MOIS_TERRAIN,PRIX_TERRAIN*(1+FRAIS_ACQ),0)</f>
        <v>0</v>
      </c>
      <c r="J45" s="29" t="n">
        <f aca="false">IF(A45=MOIS_TAXES,TAXES_URBA,0)</f>
        <v>0</v>
      </c>
      <c r="K45" s="29" t="n">
        <f aca="false">IF(AND(A45&gt;=MOIS_TRAVAUX,A45&lt;=MOIS_ACHEVEMENT),TRAVAUX_HT/DUREE_CHANTIER,0)</f>
        <v>0</v>
      </c>
      <c r="L45" s="29" t="n">
        <f aca="false">(SDP*COUT_M2+VRD)*HONORAIRES*IF(MOIS_TRAVAUX&gt;1,IF(A45&lt;MOIS_TRAVAUX,HONO_AVANT/(MOIS_TRAVAUX-1),IF(A45&lt;=MOIS_ACHEVEMENT,(1-HONO_AVANT)/DUREE_CHANTIER,0)),IF(A45&lt;=MOIS_ACHEVEMENT,1/DUREE_CHANTIER,0))</f>
        <v>0</v>
      </c>
      <c r="M45" s="29" t="n">
        <f aca="false">IF(A45=MOIS_TRAVAUX,(SDP*COUT_M2+VRD)*ASSURANCES,0)</f>
        <v>0</v>
      </c>
      <c r="N45" s="29" t="n">
        <f aca="false">CA_HT*COMMERCIALISATION*(D45-D44)+IF(AND(A45&gt;=MOIS_VENTES,A45&lt;=MOIS_VENTES+DUREE_VENTES),PUBLICITE/(DUREE_VENTES+1),0)</f>
        <v>0</v>
      </c>
      <c r="O45" s="29" t="n">
        <f aca="false">IF(A45&lt;=MOIS_LIVRAISON,CA_HT*GESTION/MOIS_LIVRAISON,0)</f>
        <v>0</v>
      </c>
      <c r="P45" s="29" t="n">
        <f aca="false">IF(A45=MOIS_TERRAIN,FRAIS_DOSSIER,0)+IF(AND(A45&gt;=MOIS_TRAVAUX,A45&lt;=MOIS_ACHEVEMENT),GFA_MONTANT*GFA_TAUX/12,0)</f>
        <v>0</v>
      </c>
      <c r="Q45" s="29" t="n">
        <f aca="false">(K45+L45+N45)*TVA_ACHATS</f>
        <v>0</v>
      </c>
      <c r="R45" s="29" t="n">
        <f aca="false">G45*TVA/(1+TVA)</f>
        <v>0</v>
      </c>
      <c r="S45" s="29" t="n">
        <f aca="false">MAX(0,R45-Q45-T44)</f>
        <v>0</v>
      </c>
      <c r="T45" s="29" t="n">
        <f aca="false">MAX(0,T44+Q45-R45)</f>
        <v>0</v>
      </c>
      <c r="U45" s="29" t="n">
        <f aca="false">S44</f>
        <v>0</v>
      </c>
      <c r="V45" s="29" t="n">
        <f aca="false">SUM(I45:Q45)+U45</f>
        <v>0</v>
      </c>
      <c r="W45" s="29" t="n">
        <f aca="false">ROUND(AA44*TAUX_CREDIT/12,2)</f>
        <v>0</v>
      </c>
      <c r="X45" s="29" t="n">
        <f aca="false">G45-V45-W45</f>
        <v>0</v>
      </c>
      <c r="Y45" s="29" t="n">
        <f aca="false">MAX(0,MIN(TRESO_MIN-(AB44+H45+X45),PLAFOND_CREDIT-AA44))</f>
        <v>0</v>
      </c>
      <c r="Z45" s="29" t="n">
        <f aca="false">MIN(AA44,MAX(0,AB44+H45+X45-TRESO_MIN))</f>
        <v>0</v>
      </c>
      <c r="AA45" s="30" t="n">
        <f aca="false">AA44+Y45-Z45</f>
        <v>0</v>
      </c>
      <c r="AB45" s="30" t="n">
        <f aca="false">AB44+H45+X45+Y45-Z45</f>
        <v>1389585.77333333</v>
      </c>
      <c r="AC45" s="30" t="n">
        <f aca="false">AC44+X45</f>
        <v>739585.773333334</v>
      </c>
      <c r="AD45" s="31" t="str">
        <f aca="false">IF(AC45=MIN($AC$6:$AC$53),"◀ POINT BAS","")</f>
        <v/>
      </c>
    </row>
    <row r="46" customFormat="false" ht="15" hidden="false" customHeight="false" outlineLevel="0" collapsed="false">
      <c r="A46" s="27" t="n">
        <v>41</v>
      </c>
      <c r="B46" s="28" t="n">
        <f aca="false">EDATE(DEBUT_PLAN,A46-1)</f>
        <v>47239</v>
      </c>
      <c r="C46" s="22" t="n">
        <f aca="false">MAX(0,MIN(1,(A46-MOIS_TRAVAUX+1)/DUREE_CHANTIER))</f>
        <v>1</v>
      </c>
      <c r="D46" s="22" t="n">
        <f aca="false">IF(A46&lt;MOIS_VENTES,0,MIN(1,PRECOMMERCIALISATION+(1-PRECOMMERCIALISATION)*IF(DUREE_VENTES&gt;0,(A46-MOIS_VENTES)/DUREE_VENTES,1)))</f>
        <v>1</v>
      </c>
      <c r="E46" s="22" t="n">
        <f aca="false">IF(A46&gt;=MOIS_LIVRAISON,APPEL_LIVRAISON,IF(C46&gt;=1,APPEL_ACHEVEMENT,IF(C46&gt;=SEUIL_HORS_EAU,APPEL_HORS_EAU,IF(C46&gt;=SEUIL_FONDATIONS,APPEL_FONDATIONS,0))))</f>
        <v>1</v>
      </c>
      <c r="F46" s="29" t="n">
        <f aca="false">ROUND(CA_TTC*D46*E46,2)</f>
        <v>6815000</v>
      </c>
      <c r="G46" s="29" t="n">
        <f aca="false">F46-F45</f>
        <v>0</v>
      </c>
      <c r="H46" s="29" t="n">
        <f aca="false">IF(A46=1,FONDS_PROPRES,0)</f>
        <v>0</v>
      </c>
      <c r="I46" s="29" t="n">
        <f aca="false">IF(A46=MOIS_TERRAIN,PRIX_TERRAIN*(1+FRAIS_ACQ),0)</f>
        <v>0</v>
      </c>
      <c r="J46" s="29" t="n">
        <f aca="false">IF(A46=MOIS_TAXES,TAXES_URBA,0)</f>
        <v>0</v>
      </c>
      <c r="K46" s="29" t="n">
        <f aca="false">IF(AND(A46&gt;=MOIS_TRAVAUX,A46&lt;=MOIS_ACHEVEMENT),TRAVAUX_HT/DUREE_CHANTIER,0)</f>
        <v>0</v>
      </c>
      <c r="L46" s="29" t="n">
        <f aca="false">(SDP*COUT_M2+VRD)*HONORAIRES*IF(MOIS_TRAVAUX&gt;1,IF(A46&lt;MOIS_TRAVAUX,HONO_AVANT/(MOIS_TRAVAUX-1),IF(A46&lt;=MOIS_ACHEVEMENT,(1-HONO_AVANT)/DUREE_CHANTIER,0)),IF(A46&lt;=MOIS_ACHEVEMENT,1/DUREE_CHANTIER,0))</f>
        <v>0</v>
      </c>
      <c r="M46" s="29" t="n">
        <f aca="false">IF(A46=MOIS_TRAVAUX,(SDP*COUT_M2+VRD)*ASSURANCES,0)</f>
        <v>0</v>
      </c>
      <c r="N46" s="29" t="n">
        <f aca="false">CA_HT*COMMERCIALISATION*(D46-D45)+IF(AND(A46&gt;=MOIS_VENTES,A46&lt;=MOIS_VENTES+DUREE_VENTES),PUBLICITE/(DUREE_VENTES+1),0)</f>
        <v>0</v>
      </c>
      <c r="O46" s="29" t="n">
        <f aca="false">IF(A46&lt;=MOIS_LIVRAISON,CA_HT*GESTION/MOIS_LIVRAISON,0)</f>
        <v>0</v>
      </c>
      <c r="P46" s="29" t="n">
        <f aca="false">IF(A46=MOIS_TERRAIN,FRAIS_DOSSIER,0)+IF(AND(A46&gt;=MOIS_TRAVAUX,A46&lt;=MOIS_ACHEVEMENT),GFA_MONTANT*GFA_TAUX/12,0)</f>
        <v>0</v>
      </c>
      <c r="Q46" s="29" t="n">
        <f aca="false">(K46+L46+N46)*TVA_ACHATS</f>
        <v>0</v>
      </c>
      <c r="R46" s="29" t="n">
        <f aca="false">G46*TVA/(1+TVA)</f>
        <v>0</v>
      </c>
      <c r="S46" s="29" t="n">
        <f aca="false">MAX(0,R46-Q46-T45)</f>
        <v>0</v>
      </c>
      <c r="T46" s="29" t="n">
        <f aca="false">MAX(0,T45+Q46-R46)</f>
        <v>0</v>
      </c>
      <c r="U46" s="29" t="n">
        <f aca="false">S45</f>
        <v>0</v>
      </c>
      <c r="V46" s="29" t="n">
        <f aca="false">SUM(I46:Q46)+U46</f>
        <v>0</v>
      </c>
      <c r="W46" s="29" t="n">
        <f aca="false">ROUND(AA45*TAUX_CREDIT/12,2)</f>
        <v>0</v>
      </c>
      <c r="X46" s="29" t="n">
        <f aca="false">G46-V46-W46</f>
        <v>0</v>
      </c>
      <c r="Y46" s="29" t="n">
        <f aca="false">MAX(0,MIN(TRESO_MIN-(AB45+H46+X46),PLAFOND_CREDIT-AA45))</f>
        <v>0</v>
      </c>
      <c r="Z46" s="29" t="n">
        <f aca="false">MIN(AA45,MAX(0,AB45+H46+X46-TRESO_MIN))</f>
        <v>0</v>
      </c>
      <c r="AA46" s="30" t="n">
        <f aca="false">AA45+Y46-Z46</f>
        <v>0</v>
      </c>
      <c r="AB46" s="30" t="n">
        <f aca="false">AB45+H46+X46+Y46-Z46</f>
        <v>1389585.77333333</v>
      </c>
      <c r="AC46" s="30" t="n">
        <f aca="false">AC45+X46</f>
        <v>739585.773333334</v>
      </c>
      <c r="AD46" s="31" t="str">
        <f aca="false">IF(AC46=MIN($AC$6:$AC$53),"◀ POINT BAS","")</f>
        <v/>
      </c>
    </row>
    <row r="47" customFormat="false" ht="15" hidden="false" customHeight="false" outlineLevel="0" collapsed="false">
      <c r="A47" s="27" t="n">
        <v>42</v>
      </c>
      <c r="B47" s="28" t="n">
        <f aca="false">EDATE(DEBUT_PLAN,A47-1)</f>
        <v>47270</v>
      </c>
      <c r="C47" s="22" t="n">
        <f aca="false">MAX(0,MIN(1,(A47-MOIS_TRAVAUX+1)/DUREE_CHANTIER))</f>
        <v>1</v>
      </c>
      <c r="D47" s="22" t="n">
        <f aca="false">IF(A47&lt;MOIS_VENTES,0,MIN(1,PRECOMMERCIALISATION+(1-PRECOMMERCIALISATION)*IF(DUREE_VENTES&gt;0,(A47-MOIS_VENTES)/DUREE_VENTES,1)))</f>
        <v>1</v>
      </c>
      <c r="E47" s="22" t="n">
        <f aca="false">IF(A47&gt;=MOIS_LIVRAISON,APPEL_LIVRAISON,IF(C47&gt;=1,APPEL_ACHEVEMENT,IF(C47&gt;=SEUIL_HORS_EAU,APPEL_HORS_EAU,IF(C47&gt;=SEUIL_FONDATIONS,APPEL_FONDATIONS,0))))</f>
        <v>1</v>
      </c>
      <c r="F47" s="29" t="n">
        <f aca="false">ROUND(CA_TTC*D47*E47,2)</f>
        <v>6815000</v>
      </c>
      <c r="G47" s="29" t="n">
        <f aca="false">F47-F46</f>
        <v>0</v>
      </c>
      <c r="H47" s="29" t="n">
        <f aca="false">IF(A47=1,FONDS_PROPRES,0)</f>
        <v>0</v>
      </c>
      <c r="I47" s="29" t="n">
        <f aca="false">IF(A47=MOIS_TERRAIN,PRIX_TERRAIN*(1+FRAIS_ACQ),0)</f>
        <v>0</v>
      </c>
      <c r="J47" s="29" t="n">
        <f aca="false">IF(A47=MOIS_TAXES,TAXES_URBA,0)</f>
        <v>0</v>
      </c>
      <c r="K47" s="29" t="n">
        <f aca="false">IF(AND(A47&gt;=MOIS_TRAVAUX,A47&lt;=MOIS_ACHEVEMENT),TRAVAUX_HT/DUREE_CHANTIER,0)</f>
        <v>0</v>
      </c>
      <c r="L47" s="29" t="n">
        <f aca="false">(SDP*COUT_M2+VRD)*HONORAIRES*IF(MOIS_TRAVAUX&gt;1,IF(A47&lt;MOIS_TRAVAUX,HONO_AVANT/(MOIS_TRAVAUX-1),IF(A47&lt;=MOIS_ACHEVEMENT,(1-HONO_AVANT)/DUREE_CHANTIER,0)),IF(A47&lt;=MOIS_ACHEVEMENT,1/DUREE_CHANTIER,0))</f>
        <v>0</v>
      </c>
      <c r="M47" s="29" t="n">
        <f aca="false">IF(A47=MOIS_TRAVAUX,(SDP*COUT_M2+VRD)*ASSURANCES,0)</f>
        <v>0</v>
      </c>
      <c r="N47" s="29" t="n">
        <f aca="false">CA_HT*COMMERCIALISATION*(D47-D46)+IF(AND(A47&gt;=MOIS_VENTES,A47&lt;=MOIS_VENTES+DUREE_VENTES),PUBLICITE/(DUREE_VENTES+1),0)</f>
        <v>0</v>
      </c>
      <c r="O47" s="29" t="n">
        <f aca="false">IF(A47&lt;=MOIS_LIVRAISON,CA_HT*GESTION/MOIS_LIVRAISON,0)</f>
        <v>0</v>
      </c>
      <c r="P47" s="29" t="n">
        <f aca="false">IF(A47=MOIS_TERRAIN,FRAIS_DOSSIER,0)+IF(AND(A47&gt;=MOIS_TRAVAUX,A47&lt;=MOIS_ACHEVEMENT),GFA_MONTANT*GFA_TAUX/12,0)</f>
        <v>0</v>
      </c>
      <c r="Q47" s="29" t="n">
        <f aca="false">(K47+L47+N47)*TVA_ACHATS</f>
        <v>0</v>
      </c>
      <c r="R47" s="29" t="n">
        <f aca="false">G47*TVA/(1+TVA)</f>
        <v>0</v>
      </c>
      <c r="S47" s="29" t="n">
        <f aca="false">MAX(0,R47-Q47-T46)</f>
        <v>0</v>
      </c>
      <c r="T47" s="29" t="n">
        <f aca="false">MAX(0,T46+Q47-R47)</f>
        <v>0</v>
      </c>
      <c r="U47" s="29" t="n">
        <f aca="false">S46</f>
        <v>0</v>
      </c>
      <c r="V47" s="29" t="n">
        <f aca="false">SUM(I47:Q47)+U47</f>
        <v>0</v>
      </c>
      <c r="W47" s="29" t="n">
        <f aca="false">ROUND(AA46*TAUX_CREDIT/12,2)</f>
        <v>0</v>
      </c>
      <c r="X47" s="29" t="n">
        <f aca="false">G47-V47-W47</f>
        <v>0</v>
      </c>
      <c r="Y47" s="29" t="n">
        <f aca="false">MAX(0,MIN(TRESO_MIN-(AB46+H47+X47),PLAFOND_CREDIT-AA46))</f>
        <v>0</v>
      </c>
      <c r="Z47" s="29" t="n">
        <f aca="false">MIN(AA46,MAX(0,AB46+H47+X47-TRESO_MIN))</f>
        <v>0</v>
      </c>
      <c r="AA47" s="30" t="n">
        <f aca="false">AA46+Y47-Z47</f>
        <v>0</v>
      </c>
      <c r="AB47" s="30" t="n">
        <f aca="false">AB46+H47+X47+Y47-Z47</f>
        <v>1389585.77333333</v>
      </c>
      <c r="AC47" s="30" t="n">
        <f aca="false">AC46+X47</f>
        <v>739585.773333334</v>
      </c>
      <c r="AD47" s="31" t="str">
        <f aca="false">IF(AC47=MIN($AC$6:$AC$53),"◀ POINT BAS","")</f>
        <v/>
      </c>
    </row>
    <row r="48" customFormat="false" ht="15" hidden="false" customHeight="false" outlineLevel="0" collapsed="false">
      <c r="A48" s="27" t="n">
        <v>43</v>
      </c>
      <c r="B48" s="28" t="n">
        <f aca="false">EDATE(DEBUT_PLAN,A48-1)</f>
        <v>47300</v>
      </c>
      <c r="C48" s="22" t="n">
        <f aca="false">MAX(0,MIN(1,(A48-MOIS_TRAVAUX+1)/DUREE_CHANTIER))</f>
        <v>1</v>
      </c>
      <c r="D48" s="22" t="n">
        <f aca="false">IF(A48&lt;MOIS_VENTES,0,MIN(1,PRECOMMERCIALISATION+(1-PRECOMMERCIALISATION)*IF(DUREE_VENTES&gt;0,(A48-MOIS_VENTES)/DUREE_VENTES,1)))</f>
        <v>1</v>
      </c>
      <c r="E48" s="22" t="n">
        <f aca="false">IF(A48&gt;=MOIS_LIVRAISON,APPEL_LIVRAISON,IF(C48&gt;=1,APPEL_ACHEVEMENT,IF(C48&gt;=SEUIL_HORS_EAU,APPEL_HORS_EAU,IF(C48&gt;=SEUIL_FONDATIONS,APPEL_FONDATIONS,0))))</f>
        <v>1</v>
      </c>
      <c r="F48" s="29" t="n">
        <f aca="false">ROUND(CA_TTC*D48*E48,2)</f>
        <v>6815000</v>
      </c>
      <c r="G48" s="29" t="n">
        <f aca="false">F48-F47</f>
        <v>0</v>
      </c>
      <c r="H48" s="29" t="n">
        <f aca="false">IF(A48=1,FONDS_PROPRES,0)</f>
        <v>0</v>
      </c>
      <c r="I48" s="29" t="n">
        <f aca="false">IF(A48=MOIS_TERRAIN,PRIX_TERRAIN*(1+FRAIS_ACQ),0)</f>
        <v>0</v>
      </c>
      <c r="J48" s="29" t="n">
        <f aca="false">IF(A48=MOIS_TAXES,TAXES_URBA,0)</f>
        <v>0</v>
      </c>
      <c r="K48" s="29" t="n">
        <f aca="false">IF(AND(A48&gt;=MOIS_TRAVAUX,A48&lt;=MOIS_ACHEVEMENT),TRAVAUX_HT/DUREE_CHANTIER,0)</f>
        <v>0</v>
      </c>
      <c r="L48" s="29" t="n">
        <f aca="false">(SDP*COUT_M2+VRD)*HONORAIRES*IF(MOIS_TRAVAUX&gt;1,IF(A48&lt;MOIS_TRAVAUX,HONO_AVANT/(MOIS_TRAVAUX-1),IF(A48&lt;=MOIS_ACHEVEMENT,(1-HONO_AVANT)/DUREE_CHANTIER,0)),IF(A48&lt;=MOIS_ACHEVEMENT,1/DUREE_CHANTIER,0))</f>
        <v>0</v>
      </c>
      <c r="M48" s="29" t="n">
        <f aca="false">IF(A48=MOIS_TRAVAUX,(SDP*COUT_M2+VRD)*ASSURANCES,0)</f>
        <v>0</v>
      </c>
      <c r="N48" s="29" t="n">
        <f aca="false">CA_HT*COMMERCIALISATION*(D48-D47)+IF(AND(A48&gt;=MOIS_VENTES,A48&lt;=MOIS_VENTES+DUREE_VENTES),PUBLICITE/(DUREE_VENTES+1),0)</f>
        <v>0</v>
      </c>
      <c r="O48" s="29" t="n">
        <f aca="false">IF(A48&lt;=MOIS_LIVRAISON,CA_HT*GESTION/MOIS_LIVRAISON,0)</f>
        <v>0</v>
      </c>
      <c r="P48" s="29" t="n">
        <f aca="false">IF(A48=MOIS_TERRAIN,FRAIS_DOSSIER,0)+IF(AND(A48&gt;=MOIS_TRAVAUX,A48&lt;=MOIS_ACHEVEMENT),GFA_MONTANT*GFA_TAUX/12,0)</f>
        <v>0</v>
      </c>
      <c r="Q48" s="29" t="n">
        <f aca="false">(K48+L48+N48)*TVA_ACHATS</f>
        <v>0</v>
      </c>
      <c r="R48" s="29" t="n">
        <f aca="false">G48*TVA/(1+TVA)</f>
        <v>0</v>
      </c>
      <c r="S48" s="29" t="n">
        <f aca="false">MAX(0,R48-Q48-T47)</f>
        <v>0</v>
      </c>
      <c r="T48" s="29" t="n">
        <f aca="false">MAX(0,T47+Q48-R48)</f>
        <v>0</v>
      </c>
      <c r="U48" s="29" t="n">
        <f aca="false">S47</f>
        <v>0</v>
      </c>
      <c r="V48" s="29" t="n">
        <f aca="false">SUM(I48:Q48)+U48</f>
        <v>0</v>
      </c>
      <c r="W48" s="29" t="n">
        <f aca="false">ROUND(AA47*TAUX_CREDIT/12,2)</f>
        <v>0</v>
      </c>
      <c r="X48" s="29" t="n">
        <f aca="false">G48-V48-W48</f>
        <v>0</v>
      </c>
      <c r="Y48" s="29" t="n">
        <f aca="false">MAX(0,MIN(TRESO_MIN-(AB47+H48+X48),PLAFOND_CREDIT-AA47))</f>
        <v>0</v>
      </c>
      <c r="Z48" s="29" t="n">
        <f aca="false">MIN(AA47,MAX(0,AB47+H48+X48-TRESO_MIN))</f>
        <v>0</v>
      </c>
      <c r="AA48" s="30" t="n">
        <f aca="false">AA47+Y48-Z48</f>
        <v>0</v>
      </c>
      <c r="AB48" s="30" t="n">
        <f aca="false">AB47+H48+X48+Y48-Z48</f>
        <v>1389585.77333333</v>
      </c>
      <c r="AC48" s="30" t="n">
        <f aca="false">AC47+X48</f>
        <v>739585.773333334</v>
      </c>
      <c r="AD48" s="31" t="str">
        <f aca="false">IF(AC48=MIN($AC$6:$AC$53),"◀ POINT BAS","")</f>
        <v/>
      </c>
    </row>
    <row r="49" customFormat="false" ht="15" hidden="false" customHeight="false" outlineLevel="0" collapsed="false">
      <c r="A49" s="27" t="n">
        <v>44</v>
      </c>
      <c r="B49" s="28" t="n">
        <f aca="false">EDATE(DEBUT_PLAN,A49-1)</f>
        <v>47331</v>
      </c>
      <c r="C49" s="22" t="n">
        <f aca="false">MAX(0,MIN(1,(A49-MOIS_TRAVAUX+1)/DUREE_CHANTIER))</f>
        <v>1</v>
      </c>
      <c r="D49" s="22" t="n">
        <f aca="false">IF(A49&lt;MOIS_VENTES,0,MIN(1,PRECOMMERCIALISATION+(1-PRECOMMERCIALISATION)*IF(DUREE_VENTES&gt;0,(A49-MOIS_VENTES)/DUREE_VENTES,1)))</f>
        <v>1</v>
      </c>
      <c r="E49" s="22" t="n">
        <f aca="false">IF(A49&gt;=MOIS_LIVRAISON,APPEL_LIVRAISON,IF(C49&gt;=1,APPEL_ACHEVEMENT,IF(C49&gt;=SEUIL_HORS_EAU,APPEL_HORS_EAU,IF(C49&gt;=SEUIL_FONDATIONS,APPEL_FONDATIONS,0))))</f>
        <v>1</v>
      </c>
      <c r="F49" s="29" t="n">
        <f aca="false">ROUND(CA_TTC*D49*E49,2)</f>
        <v>6815000</v>
      </c>
      <c r="G49" s="29" t="n">
        <f aca="false">F49-F48</f>
        <v>0</v>
      </c>
      <c r="H49" s="29" t="n">
        <f aca="false">IF(A49=1,FONDS_PROPRES,0)</f>
        <v>0</v>
      </c>
      <c r="I49" s="29" t="n">
        <f aca="false">IF(A49=MOIS_TERRAIN,PRIX_TERRAIN*(1+FRAIS_ACQ),0)</f>
        <v>0</v>
      </c>
      <c r="J49" s="29" t="n">
        <f aca="false">IF(A49=MOIS_TAXES,TAXES_URBA,0)</f>
        <v>0</v>
      </c>
      <c r="K49" s="29" t="n">
        <f aca="false">IF(AND(A49&gt;=MOIS_TRAVAUX,A49&lt;=MOIS_ACHEVEMENT),TRAVAUX_HT/DUREE_CHANTIER,0)</f>
        <v>0</v>
      </c>
      <c r="L49" s="29" t="n">
        <f aca="false">(SDP*COUT_M2+VRD)*HONORAIRES*IF(MOIS_TRAVAUX&gt;1,IF(A49&lt;MOIS_TRAVAUX,HONO_AVANT/(MOIS_TRAVAUX-1),IF(A49&lt;=MOIS_ACHEVEMENT,(1-HONO_AVANT)/DUREE_CHANTIER,0)),IF(A49&lt;=MOIS_ACHEVEMENT,1/DUREE_CHANTIER,0))</f>
        <v>0</v>
      </c>
      <c r="M49" s="29" t="n">
        <f aca="false">IF(A49=MOIS_TRAVAUX,(SDP*COUT_M2+VRD)*ASSURANCES,0)</f>
        <v>0</v>
      </c>
      <c r="N49" s="29" t="n">
        <f aca="false">CA_HT*COMMERCIALISATION*(D49-D48)+IF(AND(A49&gt;=MOIS_VENTES,A49&lt;=MOIS_VENTES+DUREE_VENTES),PUBLICITE/(DUREE_VENTES+1),0)</f>
        <v>0</v>
      </c>
      <c r="O49" s="29" t="n">
        <f aca="false">IF(A49&lt;=MOIS_LIVRAISON,CA_HT*GESTION/MOIS_LIVRAISON,0)</f>
        <v>0</v>
      </c>
      <c r="P49" s="29" t="n">
        <f aca="false">IF(A49=MOIS_TERRAIN,FRAIS_DOSSIER,0)+IF(AND(A49&gt;=MOIS_TRAVAUX,A49&lt;=MOIS_ACHEVEMENT),GFA_MONTANT*GFA_TAUX/12,0)</f>
        <v>0</v>
      </c>
      <c r="Q49" s="29" t="n">
        <f aca="false">(K49+L49+N49)*TVA_ACHATS</f>
        <v>0</v>
      </c>
      <c r="R49" s="29" t="n">
        <f aca="false">G49*TVA/(1+TVA)</f>
        <v>0</v>
      </c>
      <c r="S49" s="29" t="n">
        <f aca="false">MAX(0,R49-Q49-T48)</f>
        <v>0</v>
      </c>
      <c r="T49" s="29" t="n">
        <f aca="false">MAX(0,T48+Q49-R49)</f>
        <v>0</v>
      </c>
      <c r="U49" s="29" t="n">
        <f aca="false">S48</f>
        <v>0</v>
      </c>
      <c r="V49" s="29" t="n">
        <f aca="false">SUM(I49:Q49)+U49</f>
        <v>0</v>
      </c>
      <c r="W49" s="29" t="n">
        <f aca="false">ROUND(AA48*TAUX_CREDIT/12,2)</f>
        <v>0</v>
      </c>
      <c r="X49" s="29" t="n">
        <f aca="false">G49-V49-W49</f>
        <v>0</v>
      </c>
      <c r="Y49" s="29" t="n">
        <f aca="false">MAX(0,MIN(TRESO_MIN-(AB48+H49+X49),PLAFOND_CREDIT-AA48))</f>
        <v>0</v>
      </c>
      <c r="Z49" s="29" t="n">
        <f aca="false">MIN(AA48,MAX(0,AB48+H49+X49-TRESO_MIN))</f>
        <v>0</v>
      </c>
      <c r="AA49" s="30" t="n">
        <f aca="false">AA48+Y49-Z49</f>
        <v>0</v>
      </c>
      <c r="AB49" s="30" t="n">
        <f aca="false">AB48+H49+X49+Y49-Z49</f>
        <v>1389585.77333333</v>
      </c>
      <c r="AC49" s="30" t="n">
        <f aca="false">AC48+X49</f>
        <v>739585.773333334</v>
      </c>
      <c r="AD49" s="31" t="str">
        <f aca="false">IF(AC49=MIN($AC$6:$AC$53),"◀ POINT BAS","")</f>
        <v/>
      </c>
    </row>
    <row r="50" customFormat="false" ht="15" hidden="false" customHeight="false" outlineLevel="0" collapsed="false">
      <c r="A50" s="27" t="n">
        <v>45</v>
      </c>
      <c r="B50" s="28" t="n">
        <f aca="false">EDATE(DEBUT_PLAN,A50-1)</f>
        <v>47362</v>
      </c>
      <c r="C50" s="22" t="n">
        <f aca="false">MAX(0,MIN(1,(A50-MOIS_TRAVAUX+1)/DUREE_CHANTIER))</f>
        <v>1</v>
      </c>
      <c r="D50" s="22" t="n">
        <f aca="false">IF(A50&lt;MOIS_VENTES,0,MIN(1,PRECOMMERCIALISATION+(1-PRECOMMERCIALISATION)*IF(DUREE_VENTES&gt;0,(A50-MOIS_VENTES)/DUREE_VENTES,1)))</f>
        <v>1</v>
      </c>
      <c r="E50" s="22" t="n">
        <f aca="false">IF(A50&gt;=MOIS_LIVRAISON,APPEL_LIVRAISON,IF(C50&gt;=1,APPEL_ACHEVEMENT,IF(C50&gt;=SEUIL_HORS_EAU,APPEL_HORS_EAU,IF(C50&gt;=SEUIL_FONDATIONS,APPEL_FONDATIONS,0))))</f>
        <v>1</v>
      </c>
      <c r="F50" s="29" t="n">
        <f aca="false">ROUND(CA_TTC*D50*E50,2)</f>
        <v>6815000</v>
      </c>
      <c r="G50" s="29" t="n">
        <f aca="false">F50-F49</f>
        <v>0</v>
      </c>
      <c r="H50" s="29" t="n">
        <f aca="false">IF(A50=1,FONDS_PROPRES,0)</f>
        <v>0</v>
      </c>
      <c r="I50" s="29" t="n">
        <f aca="false">IF(A50=MOIS_TERRAIN,PRIX_TERRAIN*(1+FRAIS_ACQ),0)</f>
        <v>0</v>
      </c>
      <c r="J50" s="29" t="n">
        <f aca="false">IF(A50=MOIS_TAXES,TAXES_URBA,0)</f>
        <v>0</v>
      </c>
      <c r="K50" s="29" t="n">
        <f aca="false">IF(AND(A50&gt;=MOIS_TRAVAUX,A50&lt;=MOIS_ACHEVEMENT),TRAVAUX_HT/DUREE_CHANTIER,0)</f>
        <v>0</v>
      </c>
      <c r="L50" s="29" t="n">
        <f aca="false">(SDP*COUT_M2+VRD)*HONORAIRES*IF(MOIS_TRAVAUX&gt;1,IF(A50&lt;MOIS_TRAVAUX,HONO_AVANT/(MOIS_TRAVAUX-1),IF(A50&lt;=MOIS_ACHEVEMENT,(1-HONO_AVANT)/DUREE_CHANTIER,0)),IF(A50&lt;=MOIS_ACHEVEMENT,1/DUREE_CHANTIER,0))</f>
        <v>0</v>
      </c>
      <c r="M50" s="29" t="n">
        <f aca="false">IF(A50=MOIS_TRAVAUX,(SDP*COUT_M2+VRD)*ASSURANCES,0)</f>
        <v>0</v>
      </c>
      <c r="N50" s="29" t="n">
        <f aca="false">CA_HT*COMMERCIALISATION*(D50-D49)+IF(AND(A50&gt;=MOIS_VENTES,A50&lt;=MOIS_VENTES+DUREE_VENTES),PUBLICITE/(DUREE_VENTES+1),0)</f>
        <v>0</v>
      </c>
      <c r="O50" s="29" t="n">
        <f aca="false">IF(A50&lt;=MOIS_LIVRAISON,CA_HT*GESTION/MOIS_LIVRAISON,0)</f>
        <v>0</v>
      </c>
      <c r="P50" s="29" t="n">
        <f aca="false">IF(A50=MOIS_TERRAIN,FRAIS_DOSSIER,0)+IF(AND(A50&gt;=MOIS_TRAVAUX,A50&lt;=MOIS_ACHEVEMENT),GFA_MONTANT*GFA_TAUX/12,0)</f>
        <v>0</v>
      </c>
      <c r="Q50" s="29" t="n">
        <f aca="false">(K50+L50+N50)*TVA_ACHATS</f>
        <v>0</v>
      </c>
      <c r="R50" s="29" t="n">
        <f aca="false">G50*TVA/(1+TVA)</f>
        <v>0</v>
      </c>
      <c r="S50" s="29" t="n">
        <f aca="false">MAX(0,R50-Q50-T49)</f>
        <v>0</v>
      </c>
      <c r="T50" s="29" t="n">
        <f aca="false">MAX(0,T49+Q50-R50)</f>
        <v>0</v>
      </c>
      <c r="U50" s="29" t="n">
        <f aca="false">S49</f>
        <v>0</v>
      </c>
      <c r="V50" s="29" t="n">
        <f aca="false">SUM(I50:Q50)+U50</f>
        <v>0</v>
      </c>
      <c r="W50" s="29" t="n">
        <f aca="false">ROUND(AA49*TAUX_CREDIT/12,2)</f>
        <v>0</v>
      </c>
      <c r="X50" s="29" t="n">
        <f aca="false">G50-V50-W50</f>
        <v>0</v>
      </c>
      <c r="Y50" s="29" t="n">
        <f aca="false">MAX(0,MIN(TRESO_MIN-(AB49+H50+X50),PLAFOND_CREDIT-AA49))</f>
        <v>0</v>
      </c>
      <c r="Z50" s="29" t="n">
        <f aca="false">MIN(AA49,MAX(0,AB49+H50+X50-TRESO_MIN))</f>
        <v>0</v>
      </c>
      <c r="AA50" s="30" t="n">
        <f aca="false">AA49+Y50-Z50</f>
        <v>0</v>
      </c>
      <c r="AB50" s="30" t="n">
        <f aca="false">AB49+H50+X50+Y50-Z50</f>
        <v>1389585.77333333</v>
      </c>
      <c r="AC50" s="30" t="n">
        <f aca="false">AC49+X50</f>
        <v>739585.773333334</v>
      </c>
      <c r="AD50" s="31" t="str">
        <f aca="false">IF(AC50=MIN($AC$6:$AC$53),"◀ POINT BAS","")</f>
        <v/>
      </c>
    </row>
    <row r="51" customFormat="false" ht="15" hidden="false" customHeight="false" outlineLevel="0" collapsed="false">
      <c r="A51" s="27" t="n">
        <v>46</v>
      </c>
      <c r="B51" s="28" t="n">
        <f aca="false">EDATE(DEBUT_PLAN,A51-1)</f>
        <v>47392</v>
      </c>
      <c r="C51" s="22" t="n">
        <f aca="false">MAX(0,MIN(1,(A51-MOIS_TRAVAUX+1)/DUREE_CHANTIER))</f>
        <v>1</v>
      </c>
      <c r="D51" s="22" t="n">
        <f aca="false">IF(A51&lt;MOIS_VENTES,0,MIN(1,PRECOMMERCIALISATION+(1-PRECOMMERCIALISATION)*IF(DUREE_VENTES&gt;0,(A51-MOIS_VENTES)/DUREE_VENTES,1)))</f>
        <v>1</v>
      </c>
      <c r="E51" s="22" t="n">
        <f aca="false">IF(A51&gt;=MOIS_LIVRAISON,APPEL_LIVRAISON,IF(C51&gt;=1,APPEL_ACHEVEMENT,IF(C51&gt;=SEUIL_HORS_EAU,APPEL_HORS_EAU,IF(C51&gt;=SEUIL_FONDATIONS,APPEL_FONDATIONS,0))))</f>
        <v>1</v>
      </c>
      <c r="F51" s="29" t="n">
        <f aca="false">ROUND(CA_TTC*D51*E51,2)</f>
        <v>6815000</v>
      </c>
      <c r="G51" s="29" t="n">
        <f aca="false">F51-F50</f>
        <v>0</v>
      </c>
      <c r="H51" s="29" t="n">
        <f aca="false">IF(A51=1,FONDS_PROPRES,0)</f>
        <v>0</v>
      </c>
      <c r="I51" s="29" t="n">
        <f aca="false">IF(A51=MOIS_TERRAIN,PRIX_TERRAIN*(1+FRAIS_ACQ),0)</f>
        <v>0</v>
      </c>
      <c r="J51" s="29" t="n">
        <f aca="false">IF(A51=MOIS_TAXES,TAXES_URBA,0)</f>
        <v>0</v>
      </c>
      <c r="K51" s="29" t="n">
        <f aca="false">IF(AND(A51&gt;=MOIS_TRAVAUX,A51&lt;=MOIS_ACHEVEMENT),TRAVAUX_HT/DUREE_CHANTIER,0)</f>
        <v>0</v>
      </c>
      <c r="L51" s="29" t="n">
        <f aca="false">(SDP*COUT_M2+VRD)*HONORAIRES*IF(MOIS_TRAVAUX&gt;1,IF(A51&lt;MOIS_TRAVAUX,HONO_AVANT/(MOIS_TRAVAUX-1),IF(A51&lt;=MOIS_ACHEVEMENT,(1-HONO_AVANT)/DUREE_CHANTIER,0)),IF(A51&lt;=MOIS_ACHEVEMENT,1/DUREE_CHANTIER,0))</f>
        <v>0</v>
      </c>
      <c r="M51" s="29" t="n">
        <f aca="false">IF(A51=MOIS_TRAVAUX,(SDP*COUT_M2+VRD)*ASSURANCES,0)</f>
        <v>0</v>
      </c>
      <c r="N51" s="29" t="n">
        <f aca="false">CA_HT*COMMERCIALISATION*(D51-D50)+IF(AND(A51&gt;=MOIS_VENTES,A51&lt;=MOIS_VENTES+DUREE_VENTES),PUBLICITE/(DUREE_VENTES+1),0)</f>
        <v>0</v>
      </c>
      <c r="O51" s="29" t="n">
        <f aca="false">IF(A51&lt;=MOIS_LIVRAISON,CA_HT*GESTION/MOIS_LIVRAISON,0)</f>
        <v>0</v>
      </c>
      <c r="P51" s="29" t="n">
        <f aca="false">IF(A51=MOIS_TERRAIN,FRAIS_DOSSIER,0)+IF(AND(A51&gt;=MOIS_TRAVAUX,A51&lt;=MOIS_ACHEVEMENT),GFA_MONTANT*GFA_TAUX/12,0)</f>
        <v>0</v>
      </c>
      <c r="Q51" s="29" t="n">
        <f aca="false">(K51+L51+N51)*TVA_ACHATS</f>
        <v>0</v>
      </c>
      <c r="R51" s="29" t="n">
        <f aca="false">G51*TVA/(1+TVA)</f>
        <v>0</v>
      </c>
      <c r="S51" s="29" t="n">
        <f aca="false">MAX(0,R51-Q51-T50)</f>
        <v>0</v>
      </c>
      <c r="T51" s="29" t="n">
        <f aca="false">MAX(0,T50+Q51-R51)</f>
        <v>0</v>
      </c>
      <c r="U51" s="29" t="n">
        <f aca="false">S50</f>
        <v>0</v>
      </c>
      <c r="V51" s="29" t="n">
        <f aca="false">SUM(I51:Q51)+U51</f>
        <v>0</v>
      </c>
      <c r="W51" s="29" t="n">
        <f aca="false">ROUND(AA50*TAUX_CREDIT/12,2)</f>
        <v>0</v>
      </c>
      <c r="X51" s="29" t="n">
        <f aca="false">G51-V51-W51</f>
        <v>0</v>
      </c>
      <c r="Y51" s="29" t="n">
        <f aca="false">MAX(0,MIN(TRESO_MIN-(AB50+H51+X51),PLAFOND_CREDIT-AA50))</f>
        <v>0</v>
      </c>
      <c r="Z51" s="29" t="n">
        <f aca="false">MIN(AA50,MAX(0,AB50+H51+X51-TRESO_MIN))</f>
        <v>0</v>
      </c>
      <c r="AA51" s="30" t="n">
        <f aca="false">AA50+Y51-Z51</f>
        <v>0</v>
      </c>
      <c r="AB51" s="30" t="n">
        <f aca="false">AB50+H51+X51+Y51-Z51</f>
        <v>1389585.77333333</v>
      </c>
      <c r="AC51" s="30" t="n">
        <f aca="false">AC50+X51</f>
        <v>739585.773333334</v>
      </c>
      <c r="AD51" s="31" t="str">
        <f aca="false">IF(AC51=MIN($AC$6:$AC$53),"◀ POINT BAS","")</f>
        <v/>
      </c>
    </row>
    <row r="52" customFormat="false" ht="15" hidden="false" customHeight="false" outlineLevel="0" collapsed="false">
      <c r="A52" s="27" t="n">
        <v>47</v>
      </c>
      <c r="B52" s="28" t="n">
        <f aca="false">EDATE(DEBUT_PLAN,A52-1)</f>
        <v>47423</v>
      </c>
      <c r="C52" s="22" t="n">
        <f aca="false">MAX(0,MIN(1,(A52-MOIS_TRAVAUX+1)/DUREE_CHANTIER))</f>
        <v>1</v>
      </c>
      <c r="D52" s="22" t="n">
        <f aca="false">IF(A52&lt;MOIS_VENTES,0,MIN(1,PRECOMMERCIALISATION+(1-PRECOMMERCIALISATION)*IF(DUREE_VENTES&gt;0,(A52-MOIS_VENTES)/DUREE_VENTES,1)))</f>
        <v>1</v>
      </c>
      <c r="E52" s="22" t="n">
        <f aca="false">IF(A52&gt;=MOIS_LIVRAISON,APPEL_LIVRAISON,IF(C52&gt;=1,APPEL_ACHEVEMENT,IF(C52&gt;=SEUIL_HORS_EAU,APPEL_HORS_EAU,IF(C52&gt;=SEUIL_FONDATIONS,APPEL_FONDATIONS,0))))</f>
        <v>1</v>
      </c>
      <c r="F52" s="29" t="n">
        <f aca="false">ROUND(CA_TTC*D52*E52,2)</f>
        <v>6815000</v>
      </c>
      <c r="G52" s="29" t="n">
        <f aca="false">F52-F51</f>
        <v>0</v>
      </c>
      <c r="H52" s="29" t="n">
        <f aca="false">IF(A52=1,FONDS_PROPRES,0)</f>
        <v>0</v>
      </c>
      <c r="I52" s="29" t="n">
        <f aca="false">IF(A52=MOIS_TERRAIN,PRIX_TERRAIN*(1+FRAIS_ACQ),0)</f>
        <v>0</v>
      </c>
      <c r="J52" s="29" t="n">
        <f aca="false">IF(A52=MOIS_TAXES,TAXES_URBA,0)</f>
        <v>0</v>
      </c>
      <c r="K52" s="29" t="n">
        <f aca="false">IF(AND(A52&gt;=MOIS_TRAVAUX,A52&lt;=MOIS_ACHEVEMENT),TRAVAUX_HT/DUREE_CHANTIER,0)</f>
        <v>0</v>
      </c>
      <c r="L52" s="29" t="n">
        <f aca="false">(SDP*COUT_M2+VRD)*HONORAIRES*IF(MOIS_TRAVAUX&gt;1,IF(A52&lt;MOIS_TRAVAUX,HONO_AVANT/(MOIS_TRAVAUX-1),IF(A52&lt;=MOIS_ACHEVEMENT,(1-HONO_AVANT)/DUREE_CHANTIER,0)),IF(A52&lt;=MOIS_ACHEVEMENT,1/DUREE_CHANTIER,0))</f>
        <v>0</v>
      </c>
      <c r="M52" s="29" t="n">
        <f aca="false">IF(A52=MOIS_TRAVAUX,(SDP*COUT_M2+VRD)*ASSURANCES,0)</f>
        <v>0</v>
      </c>
      <c r="N52" s="29" t="n">
        <f aca="false">CA_HT*COMMERCIALISATION*(D52-D51)+IF(AND(A52&gt;=MOIS_VENTES,A52&lt;=MOIS_VENTES+DUREE_VENTES),PUBLICITE/(DUREE_VENTES+1),0)</f>
        <v>0</v>
      </c>
      <c r="O52" s="29" t="n">
        <f aca="false">IF(A52&lt;=MOIS_LIVRAISON,CA_HT*GESTION/MOIS_LIVRAISON,0)</f>
        <v>0</v>
      </c>
      <c r="P52" s="29" t="n">
        <f aca="false">IF(A52=MOIS_TERRAIN,FRAIS_DOSSIER,0)+IF(AND(A52&gt;=MOIS_TRAVAUX,A52&lt;=MOIS_ACHEVEMENT),GFA_MONTANT*GFA_TAUX/12,0)</f>
        <v>0</v>
      </c>
      <c r="Q52" s="29" t="n">
        <f aca="false">(K52+L52+N52)*TVA_ACHATS</f>
        <v>0</v>
      </c>
      <c r="R52" s="29" t="n">
        <f aca="false">G52*TVA/(1+TVA)</f>
        <v>0</v>
      </c>
      <c r="S52" s="29" t="n">
        <f aca="false">MAX(0,R52-Q52-T51)</f>
        <v>0</v>
      </c>
      <c r="T52" s="29" t="n">
        <f aca="false">MAX(0,T51+Q52-R52)</f>
        <v>0</v>
      </c>
      <c r="U52" s="29" t="n">
        <f aca="false">S51</f>
        <v>0</v>
      </c>
      <c r="V52" s="29" t="n">
        <f aca="false">SUM(I52:Q52)+U52</f>
        <v>0</v>
      </c>
      <c r="W52" s="29" t="n">
        <f aca="false">ROUND(AA51*TAUX_CREDIT/12,2)</f>
        <v>0</v>
      </c>
      <c r="X52" s="29" t="n">
        <f aca="false">G52-V52-W52</f>
        <v>0</v>
      </c>
      <c r="Y52" s="29" t="n">
        <f aca="false">MAX(0,MIN(TRESO_MIN-(AB51+H52+X52),PLAFOND_CREDIT-AA51))</f>
        <v>0</v>
      </c>
      <c r="Z52" s="29" t="n">
        <f aca="false">MIN(AA51,MAX(0,AB51+H52+X52-TRESO_MIN))</f>
        <v>0</v>
      </c>
      <c r="AA52" s="30" t="n">
        <f aca="false">AA51+Y52-Z52</f>
        <v>0</v>
      </c>
      <c r="AB52" s="30" t="n">
        <f aca="false">AB51+H52+X52+Y52-Z52</f>
        <v>1389585.77333333</v>
      </c>
      <c r="AC52" s="30" t="n">
        <f aca="false">AC51+X52</f>
        <v>739585.773333334</v>
      </c>
      <c r="AD52" s="31" t="str">
        <f aca="false">IF(AC52=MIN($AC$6:$AC$53),"◀ POINT BAS","")</f>
        <v/>
      </c>
    </row>
    <row r="53" customFormat="false" ht="15" hidden="false" customHeight="false" outlineLevel="0" collapsed="false">
      <c r="A53" s="27" t="n">
        <v>48</v>
      </c>
      <c r="B53" s="28" t="n">
        <f aca="false">EDATE(DEBUT_PLAN,A53-1)</f>
        <v>47453</v>
      </c>
      <c r="C53" s="22" t="n">
        <f aca="false">MAX(0,MIN(1,(A53-MOIS_TRAVAUX+1)/DUREE_CHANTIER))</f>
        <v>1</v>
      </c>
      <c r="D53" s="22" t="n">
        <f aca="false">IF(A53&lt;MOIS_VENTES,0,MIN(1,PRECOMMERCIALISATION+(1-PRECOMMERCIALISATION)*IF(DUREE_VENTES&gt;0,(A53-MOIS_VENTES)/DUREE_VENTES,1)))</f>
        <v>1</v>
      </c>
      <c r="E53" s="22" t="n">
        <f aca="false">IF(A53&gt;=MOIS_LIVRAISON,APPEL_LIVRAISON,IF(C53&gt;=1,APPEL_ACHEVEMENT,IF(C53&gt;=SEUIL_HORS_EAU,APPEL_HORS_EAU,IF(C53&gt;=SEUIL_FONDATIONS,APPEL_FONDATIONS,0))))</f>
        <v>1</v>
      </c>
      <c r="F53" s="29" t="n">
        <f aca="false">ROUND(CA_TTC*D53*E53,2)</f>
        <v>6815000</v>
      </c>
      <c r="G53" s="29" t="n">
        <f aca="false">F53-F52</f>
        <v>0</v>
      </c>
      <c r="H53" s="29" t="n">
        <f aca="false">IF(A53=1,FONDS_PROPRES,0)</f>
        <v>0</v>
      </c>
      <c r="I53" s="29" t="n">
        <f aca="false">IF(A53=MOIS_TERRAIN,PRIX_TERRAIN*(1+FRAIS_ACQ),0)</f>
        <v>0</v>
      </c>
      <c r="J53" s="29" t="n">
        <f aca="false">IF(A53=MOIS_TAXES,TAXES_URBA,0)</f>
        <v>0</v>
      </c>
      <c r="K53" s="29" t="n">
        <f aca="false">IF(AND(A53&gt;=MOIS_TRAVAUX,A53&lt;=MOIS_ACHEVEMENT),TRAVAUX_HT/DUREE_CHANTIER,0)</f>
        <v>0</v>
      </c>
      <c r="L53" s="29" t="n">
        <f aca="false">(SDP*COUT_M2+VRD)*HONORAIRES*IF(MOIS_TRAVAUX&gt;1,IF(A53&lt;MOIS_TRAVAUX,HONO_AVANT/(MOIS_TRAVAUX-1),IF(A53&lt;=MOIS_ACHEVEMENT,(1-HONO_AVANT)/DUREE_CHANTIER,0)),IF(A53&lt;=MOIS_ACHEVEMENT,1/DUREE_CHANTIER,0))</f>
        <v>0</v>
      </c>
      <c r="M53" s="29" t="n">
        <f aca="false">IF(A53=MOIS_TRAVAUX,(SDP*COUT_M2+VRD)*ASSURANCES,0)</f>
        <v>0</v>
      </c>
      <c r="N53" s="29" t="n">
        <f aca="false">CA_HT*COMMERCIALISATION*(D53-D52)+IF(AND(A53&gt;=MOIS_VENTES,A53&lt;=MOIS_VENTES+DUREE_VENTES),PUBLICITE/(DUREE_VENTES+1),0)</f>
        <v>0</v>
      </c>
      <c r="O53" s="29" t="n">
        <f aca="false">IF(A53&lt;=MOIS_LIVRAISON,CA_HT*GESTION/MOIS_LIVRAISON,0)</f>
        <v>0</v>
      </c>
      <c r="P53" s="29" t="n">
        <f aca="false">IF(A53=MOIS_TERRAIN,FRAIS_DOSSIER,0)+IF(AND(A53&gt;=MOIS_TRAVAUX,A53&lt;=MOIS_ACHEVEMENT),GFA_MONTANT*GFA_TAUX/12,0)</f>
        <v>0</v>
      </c>
      <c r="Q53" s="29" t="n">
        <f aca="false">(K53+L53+N53)*TVA_ACHATS</f>
        <v>0</v>
      </c>
      <c r="R53" s="29" t="n">
        <f aca="false">G53*TVA/(1+TVA)</f>
        <v>0</v>
      </c>
      <c r="S53" s="29" t="n">
        <f aca="false">MAX(0,R53-Q53-T52)</f>
        <v>0</v>
      </c>
      <c r="T53" s="29" t="n">
        <f aca="false">MAX(0,T52+Q53-R53)</f>
        <v>0</v>
      </c>
      <c r="U53" s="29" t="n">
        <f aca="false">S52</f>
        <v>0</v>
      </c>
      <c r="V53" s="29" t="n">
        <f aca="false">SUM(I53:Q53)+U53</f>
        <v>0</v>
      </c>
      <c r="W53" s="29" t="n">
        <f aca="false">ROUND(AA52*TAUX_CREDIT/12,2)</f>
        <v>0</v>
      </c>
      <c r="X53" s="29" t="n">
        <f aca="false">G53-V53-W53</f>
        <v>0</v>
      </c>
      <c r="Y53" s="29" t="n">
        <f aca="false">MAX(0,MIN(TRESO_MIN-(AB52+H53+X53),PLAFOND_CREDIT-AA52))</f>
        <v>0</v>
      </c>
      <c r="Z53" s="29" t="n">
        <f aca="false">MIN(AA52,MAX(0,AB52+H53+X53-TRESO_MIN))</f>
        <v>0</v>
      </c>
      <c r="AA53" s="30" t="n">
        <f aca="false">AA52+Y53-Z53</f>
        <v>0</v>
      </c>
      <c r="AB53" s="30" t="n">
        <f aca="false">AB52+H53+X53+Y53-Z53</f>
        <v>1389585.77333333</v>
      </c>
      <c r="AC53" s="30" t="n">
        <f aca="false">AC52+X53</f>
        <v>739585.773333334</v>
      </c>
      <c r="AD53" s="31" t="str">
        <f aca="false">IF(AC53=MIN($AC$6:$AC$53),"◀ POINT BAS","")</f>
        <v/>
      </c>
    </row>
    <row r="54" customFormat="false" ht="15" hidden="false" customHeight="false" outlineLevel="0" collapsed="false">
      <c r="A54" s="32" t="s">
        <v>137</v>
      </c>
      <c r="B54" s="33"/>
      <c r="C54" s="33"/>
      <c r="D54" s="33"/>
      <c r="E54" s="33"/>
      <c r="F54" s="33"/>
      <c r="G54" s="34" t="n">
        <f aca="false">SUM(G6:G53)</f>
        <v>6815000</v>
      </c>
      <c r="H54" s="34" t="n">
        <f aca="false">SUM(H6:H53)</f>
        <v>650000</v>
      </c>
      <c r="I54" s="34" t="n">
        <f aca="false">SUM(I6:I53)</f>
        <v>1493500</v>
      </c>
      <c r="J54" s="34" t="n">
        <f aca="false">SUM(J6:J53)</f>
        <v>81000</v>
      </c>
      <c r="K54" s="34" t="n">
        <f aca="false">SUM(K6:K53)</f>
        <v>2397200</v>
      </c>
      <c r="L54" s="34" t="n">
        <f aca="false">SUM(L6:L53)</f>
        <v>288125</v>
      </c>
      <c r="M54" s="34" t="n">
        <f aca="false">SUM(M6:M53)</f>
        <v>59930</v>
      </c>
      <c r="N54" s="34" t="n">
        <f aca="false">SUM(N6:N53)</f>
        <v>272166.666666667</v>
      </c>
      <c r="O54" s="34" t="n">
        <f aca="false">SUM(O6:O53)</f>
        <v>227166.666666667</v>
      </c>
      <c r="P54" s="34" t="n">
        <f aca="false">SUM(P6:P53)</f>
        <v>57000</v>
      </c>
      <c r="Q54" s="34" t="n">
        <f aca="false">SUM(Q6:Q53)</f>
        <v>591498.333333333</v>
      </c>
      <c r="R54" s="34" t="n">
        <f aca="false">SUM(R6:R53)</f>
        <v>1135833.33333333</v>
      </c>
      <c r="S54" s="33"/>
      <c r="T54" s="33"/>
      <c r="U54" s="34" t="n">
        <f aca="false">SUM(U6:U53)</f>
        <v>544335</v>
      </c>
      <c r="V54" s="34" t="n">
        <f aca="false">SUM(V6:V53)</f>
        <v>6011921.66666667</v>
      </c>
      <c r="W54" s="34" t="n">
        <f aca="false">SUM(W6:W53)</f>
        <v>63492.56</v>
      </c>
      <c r="X54" s="34" t="n">
        <f aca="false">SUM(X6:X53)</f>
        <v>739585.773333333</v>
      </c>
      <c r="Y54" s="34" t="n">
        <f aca="false">SUM(Y6:Y53)</f>
        <v>2578907.15777778</v>
      </c>
      <c r="Z54" s="34" t="n">
        <f aca="false">SUM(Z6:Z53)</f>
        <v>2578907.15777778</v>
      </c>
      <c r="AA54" s="33"/>
      <c r="AB54" s="33"/>
      <c r="AC54" s="33"/>
      <c r="AD54" s="33"/>
    </row>
  </sheetData>
  <mergeCells count="5">
    <mergeCell ref="A4:E4"/>
    <mergeCell ref="F4:H4"/>
    <mergeCell ref="I4:P4"/>
    <mergeCell ref="Q4:U4"/>
    <mergeCell ref="V4:AD4"/>
  </mergeCells>
  <conditionalFormatting sqref="A6:AD53">
    <cfRule type="expression" priority="2" aboveAverage="0" equalAverage="0" bottom="0" percent="0" rank="0" text="" dxfId="0">
      <formula>$AC6=MIN($AC$6:$AC$53)</formula>
    </cfRule>
  </conditionalFormatting>
  <conditionalFormatting sqref="AB6:AB53">
    <cfRule type="expression" priority="3" aboveAverage="0" equalAverage="0" bottom="0" percent="0" rank="0" text="" dxfId="1">
      <formula>AB6&lt;0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  <col collapsed="false" customWidth="true" hidden="false" outlineLevel="0" max="3" min="3" style="0" width="74"/>
  </cols>
  <sheetData>
    <row r="1" customFormat="false" ht="24" hidden="false" customHeight="true" outlineLevel="0" collapsed="false">
      <c r="A1" s="1" t="s">
        <v>138</v>
      </c>
    </row>
    <row r="2" customFormat="false" ht="15" hidden="false" customHeight="false" outlineLevel="0" collapsed="false">
      <c r="A2" s="2" t="s">
        <v>139</v>
      </c>
    </row>
    <row r="3" customFormat="false" ht="15" hidden="false" customHeight="false" outlineLevel="0" collapsed="false">
      <c r="A3" s="35" t="str">
        <f aca="false">NOM_OPERATION</f>
        <v>Résidence Les Oliviers</v>
      </c>
    </row>
    <row r="4" customFormat="false" ht="30" hidden="false" customHeight="true" outlineLevel="0" collapsed="false">
      <c r="A4" s="3" t="s">
        <v>140</v>
      </c>
      <c r="B4" s="4" t="s">
        <v>3</v>
      </c>
      <c r="C4" s="4" t="s">
        <v>141</v>
      </c>
    </row>
    <row r="5" customFormat="false" ht="15" hidden="false" customHeight="false" outlineLevel="0" collapsed="false">
      <c r="A5" s="19" t="s">
        <v>142</v>
      </c>
      <c r="B5" s="20"/>
      <c r="C5" s="20"/>
    </row>
    <row r="6" customFormat="false" ht="15" hidden="false" customHeight="false" outlineLevel="0" collapsed="false">
      <c r="A6" s="36" t="s">
        <v>143</v>
      </c>
      <c r="B6" s="37" t="n">
        <f aca="false">MIN('Plan mensuel'!$AC$6:$AC$53)</f>
        <v>-2366305.65666667</v>
      </c>
      <c r="C6" s="38" t="s">
        <v>144</v>
      </c>
    </row>
    <row r="7" customFormat="false" ht="15" hidden="false" customHeight="false" outlineLevel="0" collapsed="false">
      <c r="A7" s="7" t="s">
        <v>145</v>
      </c>
      <c r="B7" s="13" t="n">
        <f aca="false">INDEX('Plan mensuel'!$A$6:$A$53,MATCH(B6,'Plan mensuel'!$AC$6:$AC$53,0))</f>
        <v>6</v>
      </c>
      <c r="C7" s="9" t="s">
        <v>146</v>
      </c>
    </row>
    <row r="8" customFormat="false" ht="15" hidden="false" customHeight="false" outlineLevel="0" collapsed="false">
      <c r="A8" s="7" t="s">
        <v>147</v>
      </c>
      <c r="B8" s="39" t="n">
        <f aca="false">INDEX('Plan mensuel'!$B$6:$B$53,MATCH(B6,'Plan mensuel'!$AC$6:$AC$53,0))</f>
        <v>46174</v>
      </c>
      <c r="C8" s="40"/>
    </row>
    <row r="9" customFormat="false" ht="15" hidden="false" customHeight="false" outlineLevel="0" collapsed="false">
      <c r="A9" s="36" t="s">
        <v>148</v>
      </c>
      <c r="B9" s="41" t="n">
        <f aca="false">MAX(0,-B6)+TRESO_MIN</f>
        <v>2416305.65666667</v>
      </c>
      <c r="C9" s="38" t="s">
        <v>149</v>
      </c>
    </row>
    <row r="10" customFormat="false" ht="15" hidden="false" customHeight="false" outlineLevel="0" collapsed="false">
      <c r="A10" s="19" t="s">
        <v>72</v>
      </c>
      <c r="B10" s="20"/>
      <c r="C10" s="20"/>
    </row>
    <row r="11" customFormat="false" ht="15" hidden="false" customHeight="false" outlineLevel="0" collapsed="false">
      <c r="A11" s="7" t="s">
        <v>73</v>
      </c>
      <c r="B11" s="16" t="n">
        <f aca="false">FONDS_PROPRES</f>
        <v>650000</v>
      </c>
      <c r="C11" s="40"/>
    </row>
    <row r="12" customFormat="false" ht="15" hidden="false" customHeight="false" outlineLevel="0" collapsed="false">
      <c r="A12" s="7" t="s">
        <v>150</v>
      </c>
      <c r="B12" s="16" t="n">
        <f aca="false">MAX('Plan mensuel'!$AA$6:$AA$53)</f>
        <v>1766305.65666667</v>
      </c>
      <c r="C12" s="9" t="s">
        <v>151</v>
      </c>
    </row>
    <row r="13" customFormat="false" ht="15" hidden="false" customHeight="false" outlineLevel="0" collapsed="false">
      <c r="A13" s="7" t="s">
        <v>75</v>
      </c>
      <c r="B13" s="16" t="n">
        <f aca="false">PLAFOND_CREDIT</f>
        <v>2200000</v>
      </c>
      <c r="C13" s="40"/>
    </row>
    <row r="14" customFormat="false" ht="15" hidden="false" customHeight="false" outlineLevel="0" collapsed="false">
      <c r="A14" s="7" t="s">
        <v>152</v>
      </c>
      <c r="B14" s="16" t="n">
        <f aca="false">B13-B12</f>
        <v>433694.343333334</v>
      </c>
      <c r="C14" s="9" t="s">
        <v>153</v>
      </c>
    </row>
    <row r="15" customFormat="false" ht="15" hidden="false" customHeight="false" outlineLevel="0" collapsed="false">
      <c r="A15" s="7" t="s">
        <v>154</v>
      </c>
      <c r="B15" s="42" t="str">
        <f aca="false">IF(MIN('Plan mensuel'!$AB$6:$AB$53)&lt;TRESO_MIN-0.01,"Plafond insuffisant : la trésorerie passe sous le minimum","Plafond suffisant")</f>
        <v>Plafond suffisant</v>
      </c>
      <c r="C15" s="40"/>
    </row>
    <row r="16" customFormat="false" ht="15" hidden="false" customHeight="false" outlineLevel="0" collapsed="false">
      <c r="A16" s="7" t="s">
        <v>155</v>
      </c>
      <c r="B16" s="43" t="n">
        <f aca="false">COUNTIF('Plan mensuel'!$AA$6:$AA$53,"&gt;0.005")</f>
        <v>15</v>
      </c>
      <c r="C16" s="9" t="s">
        <v>156</v>
      </c>
    </row>
    <row r="17" customFormat="false" ht="15" hidden="false" customHeight="false" outlineLevel="0" collapsed="false">
      <c r="A17" s="7" t="s">
        <v>157</v>
      </c>
      <c r="B17" s="13" t="n">
        <f aca="false">IF(B12&lt;0.005,"Aucun tirage",IF(INDEX('Plan mensuel'!$AA$6:$AA$53,48)&gt;0.005,"Non remboursé",SUMPRODUCT(MAX(('Plan mensuel'!$AA$6:$AA$53&gt;0.005)*'Plan mensuel'!$A$6:$A$53))+1))</f>
        <v>23</v>
      </c>
      <c r="C17" s="9" t="s">
        <v>158</v>
      </c>
    </row>
    <row r="18" customFormat="false" ht="15" hidden="false" customHeight="false" outlineLevel="0" collapsed="false">
      <c r="A18" s="19" t="s">
        <v>159</v>
      </c>
      <c r="B18" s="20"/>
      <c r="C18" s="20"/>
    </row>
    <row r="19" customFormat="false" ht="15" hidden="false" customHeight="false" outlineLevel="0" collapsed="false">
      <c r="A19" s="7" t="s">
        <v>129</v>
      </c>
      <c r="B19" s="16" t="n">
        <f aca="false">'Plan mensuel'!W54</f>
        <v>63492.56</v>
      </c>
      <c r="C19" s="9" t="s">
        <v>160</v>
      </c>
    </row>
    <row r="20" customFormat="false" ht="15" hidden="false" customHeight="false" outlineLevel="0" collapsed="false">
      <c r="A20" s="7" t="s">
        <v>161</v>
      </c>
      <c r="B20" s="16" t="n">
        <f aca="false">'Plan mensuel'!P54</f>
        <v>57000</v>
      </c>
      <c r="C20" s="40"/>
    </row>
    <row r="21" customFormat="false" ht="15" hidden="false" customHeight="false" outlineLevel="0" collapsed="false">
      <c r="A21" s="36" t="s">
        <v>162</v>
      </c>
      <c r="B21" s="41" t="n">
        <f aca="false">B19+B20</f>
        <v>120492.56</v>
      </c>
      <c r="C21" s="44"/>
    </row>
    <row r="22" customFormat="false" ht="15" hidden="false" customHeight="false" outlineLevel="0" collapsed="false">
      <c r="A22" s="19" t="s">
        <v>163</v>
      </c>
      <c r="B22" s="20"/>
      <c r="C22" s="20"/>
    </row>
    <row r="23" customFormat="false" ht="15" hidden="false" customHeight="false" outlineLevel="0" collapsed="false">
      <c r="A23" s="7" t="s">
        <v>27</v>
      </c>
      <c r="B23" s="16" t="n">
        <f aca="false">CA_HT</f>
        <v>5679166.66666667</v>
      </c>
      <c r="C23" s="40"/>
    </row>
    <row r="24" customFormat="false" ht="15" hidden="false" customHeight="false" outlineLevel="0" collapsed="false">
      <c r="A24" s="7" t="s">
        <v>164</v>
      </c>
      <c r="B24" s="16" t="n">
        <f aca="false">SUM('Plan mensuel'!I54:O54)</f>
        <v>4819088.33333333</v>
      </c>
      <c r="C24" s="9" t="s">
        <v>165</v>
      </c>
    </row>
    <row r="25" customFormat="false" ht="15" hidden="false" customHeight="false" outlineLevel="0" collapsed="false">
      <c r="A25" s="36" t="s">
        <v>166</v>
      </c>
      <c r="B25" s="41" t="n">
        <f aca="false">B23-B24-B21</f>
        <v>739585.773333333</v>
      </c>
      <c r="C25" s="44"/>
    </row>
    <row r="26" customFormat="false" ht="15" hidden="false" customHeight="false" outlineLevel="0" collapsed="false">
      <c r="A26" s="7" t="s">
        <v>167</v>
      </c>
      <c r="B26" s="45" t="n">
        <f aca="false">IF(B23&lt;&gt;0,B25/B23,0)</f>
        <v>0.130227869112252</v>
      </c>
      <c r="C26" s="40"/>
    </row>
    <row r="27" customFormat="false" ht="15" hidden="false" customHeight="false" outlineLevel="0" collapsed="false">
      <c r="A27" s="19" t="s">
        <v>168</v>
      </c>
      <c r="B27" s="20"/>
      <c r="C27" s="20"/>
    </row>
    <row r="28" customFormat="false" ht="15" hidden="false" customHeight="false" outlineLevel="0" collapsed="false">
      <c r="A28" s="7" t="s">
        <v>169</v>
      </c>
      <c r="B28" s="16" t="n">
        <f aca="false">'Plan mensuel'!AB53-FONDS_PROPRES</f>
        <v>739585.773333333</v>
      </c>
      <c r="C28" s="9" t="s">
        <v>170</v>
      </c>
    </row>
    <row r="29" customFormat="false" ht="15" hidden="false" customHeight="false" outlineLevel="0" collapsed="false">
      <c r="A29" s="7" t="s">
        <v>171</v>
      </c>
      <c r="B29" s="42" t="str">
        <f aca="false">IF(ABS(B28-B25)&lt;1,"Concordant","Écart : une échéance tombe après le mois 48")</f>
        <v>Concordant</v>
      </c>
      <c r="C29" s="40"/>
    </row>
    <row r="30" customFormat="false" ht="15" hidden="false" customHeight="false" outlineLevel="0" collapsed="false">
      <c r="A30" s="7" t="s">
        <v>172</v>
      </c>
      <c r="B30" s="16" t="n">
        <f aca="false">'Plan mensuel'!R54-'Plan mensuel'!Q54-'Plan mensuel'!U54</f>
        <v>0</v>
      </c>
      <c r="C30" s="9" t="s">
        <v>173</v>
      </c>
    </row>
    <row r="32" customFormat="false" ht="15" hidden="false" customHeight="false" outlineLevel="0" collapsed="false">
      <c r="A32" s="2" t="s">
        <v>174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2026-10-04T17:37:50Z</dcterms:created>
  <dc:creator>CAP IMMO</dc:creator>
  <dc:description/>
  <dc:language>fr-FR</dc:language>
  <cp:lastModifiedBy/>
  <dcterms:modified xsi:type="dcterms:W3CDTF">2026-10-04T17:37:50Z</dcterms:modified>
  <cp:revision>0</cp:revision>
  <dc:subject>Plan de trésorerie mensuel d'une opération en VEFA, point bas et crédit d'accompagnement — données d'exemple fictives</dc:subject>
  <dc:title>Modèle de plan de trésorerie promoteur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