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amètres" sheetId="1" state="visible" r:id="rId3"/>
    <sheet name="Grille" sheetId="2" state="visible" r:id="rId4"/>
    <sheet name="Synthèse" sheetId="3" state="visible" r:id="rId5"/>
  </sheets>
  <definedNames>
    <definedName function="false" hidden="false" name="BASE_SEUIL" vbProcedure="false">Paramètres!$B$9</definedName>
    <definedName function="false" hidden="false" name="DATE_POINT" vbProcedure="false">Paramètres!$B$7</definedName>
    <definedName function="false" hidden="false" name="DELAI_ALERTE" vbProcedure="false">Paramètres!$B$10</definedName>
    <definedName function="false" hidden="false" name="SEUIL" vbProcedure="false">Paramètres!$B$8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<sst xmlns="http://schemas.openxmlformats.org/spreadsheetml/2006/main" count="184" uniqueCount="131">
  <si>
    <t xml:space="preserve">Grille de commercialisation — paramètres</t>
  </si>
  <si>
    <t xml:space="preserve">Modèle gratuit CAP IMMO · données d'exemple fictives, à remplacer · cellules jaunes = saisie · prix en euros TTC</t>
  </si>
  <si>
    <t xml:space="preserve">Paramètre</t>
  </si>
  <si>
    <t xml:space="preserve">Valeur</t>
  </si>
  <si>
    <t xml:space="preserve">Précision</t>
  </si>
  <si>
    <t xml:space="preserve">Opération</t>
  </si>
  <si>
    <t xml:space="preserve">Résidence Les Hortensias</t>
  </si>
  <si>
    <t xml:space="preserve">Exemple fictif</t>
  </si>
  <si>
    <t xml:space="preserve">Localisation</t>
  </si>
  <si>
    <t xml:space="preserve">Date du point</t>
  </si>
  <si>
    <t xml:space="preserve">Sert à compter l'ancienneté des réservations</t>
  </si>
  <si>
    <t xml:space="preserve">Seuil de pré-commercialisation exigé</t>
  </si>
  <si>
    <t xml:space="preserve">Celui de l'offre de crédit ou de l'accord de garantie (exemple fictif)</t>
  </si>
  <si>
    <t xml:space="preserve">Base du seuil</t>
  </si>
  <si>
    <t xml:space="preserve">Chiffre d'affaires</t>
  </si>
  <si>
    <t xml:space="preserve">« Chiffre d'affaires » ou « Nombre de lots », selon l'offre</t>
  </si>
  <si>
    <t xml:space="preserve">Réservation sans acte : délai d'alerte</t>
  </si>
  <si>
    <t xml:space="preserve">Au-delà, la réservation est signalée sur la grille</t>
  </si>
  <si>
    <t xml:space="preserve">Statuts des lots et pré-commercialisation</t>
  </si>
  <si>
    <t xml:space="preserve">Statut</t>
  </si>
  <si>
    <t xml:space="preserve">Compté dans la pré-commercialisation ?</t>
  </si>
  <si>
    <t xml:space="preserve">Sens</t>
  </si>
  <si>
    <t xml:space="preserve">Disponible</t>
  </si>
  <si>
    <t xml:space="preserve">Non</t>
  </si>
  <si>
    <t xml:space="preserve">Lot libre à la vente</t>
  </si>
  <si>
    <t xml:space="preserve">Optionné</t>
  </si>
  <si>
    <t xml:space="preserve">Option posée, aucun contrat signé</t>
  </si>
  <si>
    <t xml:space="preserve">Réservé</t>
  </si>
  <si>
    <t xml:space="preserve">Oui</t>
  </si>
  <si>
    <t xml:space="preserve">Contrat de réservation signé (retirez-le ici si la banque exige des réservations purgées du délai de rétractation, ou des actes)</t>
  </si>
  <si>
    <t xml:space="preserve">Acte signé</t>
  </si>
  <si>
    <t xml:space="preserve">Acte authentique de vente en l'état futur d'achèvement signé</t>
  </si>
  <si>
    <t xml:space="preserve">Désisté</t>
  </si>
  <si>
    <t xml:space="preserve">Réservation abandonnée : le lot est à revendre, il reste dans le programme</t>
  </si>
  <si>
    <t xml:space="preserve">Grille de commercialisation</t>
  </si>
  <si>
    <t xml:space="preserve">18 lots d'exemple, acquéreurs et prix fictifs · cellules jaunes = saisie · ajoutez des lignes à l'intérieur du tableau</t>
  </si>
  <si>
    <t xml:space="preserve">Lot</t>
  </si>
  <si>
    <t xml:space="preserve">Typologie</t>
  </si>
  <si>
    <t xml:space="preserve">Étage</t>
  </si>
  <si>
    <t xml:space="preserve">Surface habitable</t>
  </si>
  <si>
    <t xml:space="preserve">Prix de la grille TTC</t>
  </si>
  <si>
    <t xml:space="preserve">Prix signé TTC</t>
  </si>
  <si>
    <t xml:space="preserve">Prix retenu TTC</t>
  </si>
  <si>
    <t xml:space="preserve">Prix retenu au m²</t>
  </si>
  <si>
    <t xml:space="preserve">Acquéreur</t>
  </si>
  <si>
    <t xml:space="preserve">Date de réservation</t>
  </si>
  <si>
    <t xml:space="preserve">Date de l'acte</t>
  </si>
  <si>
    <t xml:space="preserve">Compté ?</t>
  </si>
  <si>
    <t xml:space="preserve">Jours depuis la réservation</t>
  </si>
  <si>
    <t xml:space="preserve">Délai réservation → acte (jours)</t>
  </si>
  <si>
    <t xml:space="preserve">Prix signé / grille</t>
  </si>
  <si>
    <t xml:space="preserve">Signal</t>
  </si>
  <si>
    <t xml:space="preserve">C01</t>
  </si>
  <si>
    <t xml:space="preserve">T2</t>
  </si>
  <si>
    <t xml:space="preserve">RDC</t>
  </si>
  <si>
    <t xml:space="preserve">Mme Arnaud</t>
  </si>
  <si>
    <t xml:space="preserve">C02</t>
  </si>
  <si>
    <t xml:space="preserve">T3</t>
  </si>
  <si>
    <t xml:space="preserve">M. et Mme Girard</t>
  </si>
  <si>
    <t xml:space="preserve">C03</t>
  </si>
  <si>
    <t xml:space="preserve">1er</t>
  </si>
  <si>
    <t xml:space="preserve">M. Besson</t>
  </si>
  <si>
    <t xml:space="preserve">C04</t>
  </si>
  <si>
    <t xml:space="preserve">Mme Fabre</t>
  </si>
  <si>
    <t xml:space="preserve">C05</t>
  </si>
  <si>
    <t xml:space="preserve">T4</t>
  </si>
  <si>
    <t xml:space="preserve">Famille Lopez</t>
  </si>
  <si>
    <t xml:space="preserve">C06</t>
  </si>
  <si>
    <t xml:space="preserve">2e</t>
  </si>
  <si>
    <t xml:space="preserve">M. Colin</t>
  </si>
  <si>
    <t xml:space="preserve">C07</t>
  </si>
  <si>
    <t xml:space="preserve">Mme Perrin</t>
  </si>
  <si>
    <t xml:space="preserve">C08</t>
  </si>
  <si>
    <t xml:space="preserve">SCI Les Tilleuls</t>
  </si>
  <si>
    <t xml:space="preserve">C09</t>
  </si>
  <si>
    <t xml:space="preserve">3e</t>
  </si>
  <si>
    <t xml:space="preserve">C10</t>
  </si>
  <si>
    <t xml:space="preserve">M. Rousseau</t>
  </si>
  <si>
    <t xml:space="preserve">C11</t>
  </si>
  <si>
    <t xml:space="preserve">C12</t>
  </si>
  <si>
    <t xml:space="preserve">4e</t>
  </si>
  <si>
    <t xml:space="preserve">Mme Lemaire</t>
  </si>
  <si>
    <t xml:space="preserve">C13</t>
  </si>
  <si>
    <t xml:space="preserve">C14</t>
  </si>
  <si>
    <t xml:space="preserve">T5</t>
  </si>
  <si>
    <t xml:space="preserve">Attique</t>
  </si>
  <si>
    <t xml:space="preserve">M. et Mme Chevalier</t>
  </si>
  <si>
    <t xml:space="preserve">C15</t>
  </si>
  <si>
    <t xml:space="preserve">M. Garnier</t>
  </si>
  <si>
    <t xml:space="preserve">C16</t>
  </si>
  <si>
    <t xml:space="preserve">Mme Vidal</t>
  </si>
  <si>
    <t xml:space="preserve">C17</t>
  </si>
  <si>
    <t xml:space="preserve">Mme Dubois</t>
  </si>
  <si>
    <t xml:space="preserve">C18</t>
  </si>
  <si>
    <t xml:space="preserve">Total programme</t>
  </si>
  <si>
    <t xml:space="preserve">Synthèse de la commercialisation</t>
  </si>
  <si>
    <t xml:space="preserve">Calculé à partir de la grille · aucune saisie · prix en euros TTC</t>
  </si>
  <si>
    <t xml:space="preserve">Le programme</t>
  </si>
  <si>
    <t xml:space="preserve">Nombre de lots</t>
  </si>
  <si>
    <t xml:space="preserve">Surface habitable totale</t>
  </si>
  <si>
    <t xml:space="preserve">Chiffre d'affaires TTC du programme</t>
  </si>
  <si>
    <t xml:space="preserve">Prix moyen au m² du programme</t>
  </si>
  <si>
    <t xml:space="preserve">Les lots par statut</t>
  </si>
  <si>
    <t xml:space="preserve">Chiffre d'affaires TTC</t>
  </si>
  <si>
    <t xml:space="preserve">Part du chiffre d'affaires</t>
  </si>
  <si>
    <t xml:space="preserve">Total</t>
  </si>
  <si>
    <t xml:space="preserve">Pré-commercialisation</t>
  </si>
  <si>
    <t xml:space="preserve">Lots comptés (statuts « Oui » des paramètres)</t>
  </si>
  <si>
    <t xml:space="preserve">Chiffre d'affaires TTC compté</t>
  </si>
  <si>
    <t xml:space="preserve">Surface habitable comptée</t>
  </si>
  <si>
    <t xml:space="preserve">Taux de pré-commercialisation en nombre de lots</t>
  </si>
  <si>
    <t xml:space="preserve">Taux de pré-commercialisation en chiffre d'affaires</t>
  </si>
  <si>
    <t xml:space="preserve">Seuil exigé par la banque</t>
  </si>
  <si>
    <t xml:space="preserve">Taux retenu pour le seuil</t>
  </si>
  <si>
    <t xml:space="preserve">Seuil atteint ?</t>
  </si>
  <si>
    <t xml:space="preserve">Chiffre d'affaires manquant pour atteindre le seuil</t>
  </si>
  <si>
    <t xml:space="preserve">Lots manquants pour atteindre le seuil</t>
  </si>
  <si>
    <t xml:space="preserve">Prix et chiffre d'affaires restant</t>
  </si>
  <si>
    <t xml:space="preserve">Prix moyen au m² des lots comptés</t>
  </si>
  <si>
    <t xml:space="preserve">Prix moyen au m² des lots restants</t>
  </si>
  <si>
    <t xml:space="preserve">Chiffre d'affaires restant à vendre</t>
  </si>
  <si>
    <t xml:space="preserve">Part du chiffre d'affaires restant</t>
  </si>
  <si>
    <t xml:space="preserve">Écart cumulé entre prix signés et prix de la grille</t>
  </si>
  <si>
    <t xml:space="preserve">Écart en % de la grille, sur les lots à prix signé</t>
  </si>
  <si>
    <t xml:space="preserve">Délai moyen entre réservation et acte (jours)</t>
  </si>
  <si>
    <t xml:space="preserve">Lots à examiner dans la grille</t>
  </si>
  <si>
    <t xml:space="preserve">Contrôles</t>
  </si>
  <si>
    <t xml:space="preserve">Le total par statut retombe sur le chiffre d'affaires</t>
  </si>
  <si>
    <t xml:space="preserve">Le taux se lit net des désistements : un lot désisté repasse hors du décompte mais reste dans le programme.</t>
  </si>
  <si>
    <t xml:space="preserve">Le prix retenu est le prix signé quand il existe, sinon le prix de la grille : le chiffre d'affaires évolue avec les ventes réelles.</t>
  </si>
  <si>
    <t xml:space="preserve">Adaptez la colonne « Compté dans la pré-commercialisation » des paramètres à la définition de l'offre de crédit.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</si>
</sst>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"/>
    <numFmt numFmtId="166" formatCode="0.0\ %"/>
    <numFmt numFmtId="167" formatCode="0&quot; jours&quot;"/>
    <numFmt numFmtId="168" formatCode="#,##0&quot; m²&quot;"/>
    <numFmt numFmtId="169" formatCode="#,##0&quot; €&quot;;\-#,##0&quot; €&quot;;\–"/>
    <numFmt numFmtId="170" formatCode="#,##0&quot; €/m²&quot;"/>
    <numFmt numFmtId="171" formatCode="0"/>
    <numFmt numFmtId="172" formatCode="\+0.0\ %;\-0.0\ %;0.0\ %"/>
    <numFmt numFmtId="173" formatCode="#,##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228"/>
      <name val="Calibri"/>
      <family val="0"/>
      <charset val="1"/>
    </font>
    <font>
      <i val="true"/>
      <sz val="10"/>
      <color rgb="FF55607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sz val="11"/>
      <color rgb="FF1F4FBF"/>
      <name val="Calibri"/>
      <family val="0"/>
      <charset val="1"/>
    </font>
    <font>
      <b val="true"/>
      <sz val="11"/>
      <color rgb="FF0A1228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1228"/>
        <bgColor rgb="FF000000"/>
      </patternFill>
    </fill>
    <fill>
      <patternFill patternType="solid">
        <fgColor rgb="FFFFF8DC"/>
        <bgColor rgb="FFFFFFFF"/>
      </patternFill>
    </fill>
    <fill>
      <patternFill patternType="solid">
        <fgColor rgb="FFE8EDF8"/>
        <bgColor rgb="FFD9E2F5"/>
      </patternFill>
    </fill>
    <fill>
      <patternFill patternType="solid">
        <fgColor rgb="FFD9E2F5"/>
        <bgColor rgb="FFE8ED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0DE"/>
      </bottom>
      <diagonal/>
    </border>
    <border diagonalUp="false" diagonalDown="false">
      <left/>
      <right/>
      <top style="medium">
        <color rgb="FF0A1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9B1C1C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8EDF8"/>
      <rgbColor rgb="FF660066"/>
      <rgbColor rgb="FFFF8080"/>
      <rgbColor rgb="FF1F4FBF"/>
      <rgbColor rgb="FFC9D0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5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6078"/>
      <rgbColor rgb="FF969696"/>
      <rgbColor rgb="FF003366"/>
      <rgbColor rgb="FF339966"/>
      <rgbColor rgb="FF0A1228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6"/>
    <col collapsed="false" customWidth="true" hidden="false" outlineLevel="0" max="3" min="3" style="0" width="10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">
        <v>6</v>
      </c>
      <c r="C5" s="7" t="s">
        <v>7</v>
      </c>
    </row>
    <row r="6" customFormat="false" ht="15" hidden="false" customHeight="false" outlineLevel="0" collapsed="false">
      <c r="A6" s="5" t="s">
        <v>8</v>
      </c>
      <c r="B6" s="6" t="s">
        <v>7</v>
      </c>
      <c r="C6" s="7"/>
    </row>
    <row r="7" customFormat="false" ht="15" hidden="false" customHeight="false" outlineLevel="0" collapsed="false">
      <c r="A7" s="5" t="s">
        <v>9</v>
      </c>
      <c r="B7" s="8" t="n">
        <v>46295</v>
      </c>
      <c r="C7" s="7" t="s">
        <v>10</v>
      </c>
    </row>
    <row r="8" customFormat="false" ht="15" hidden="false" customHeight="false" outlineLevel="0" collapsed="false">
      <c r="A8" s="5" t="s">
        <v>11</v>
      </c>
      <c r="B8" s="9" t="n">
        <v>0.55</v>
      </c>
      <c r="C8" s="7" t="s">
        <v>12</v>
      </c>
    </row>
    <row r="9" customFormat="false" ht="15" hidden="false" customHeight="false" outlineLevel="0" collapsed="false">
      <c r="A9" s="5" t="s">
        <v>13</v>
      </c>
      <c r="B9" s="6" t="s">
        <v>14</v>
      </c>
      <c r="C9" s="7" t="s">
        <v>15</v>
      </c>
    </row>
    <row r="10" customFormat="false" ht="15" hidden="false" customHeight="false" outlineLevel="0" collapsed="false">
      <c r="A10" s="5" t="s">
        <v>16</v>
      </c>
      <c r="B10" s="10" t="n">
        <v>180</v>
      </c>
      <c r="C10" s="7" t="s">
        <v>17</v>
      </c>
    </row>
    <row r="12" customFormat="false" ht="15" hidden="false" customHeight="false" outlineLevel="0" collapsed="false">
      <c r="A12" s="11" t="s">
        <v>18</v>
      </c>
      <c r="B12" s="12"/>
      <c r="C12" s="12"/>
    </row>
    <row r="13" customFormat="false" ht="31.5" hidden="false" customHeight="true" outlineLevel="0" collapsed="false">
      <c r="A13" s="3" t="s">
        <v>19</v>
      </c>
      <c r="B13" s="4" t="s">
        <v>20</v>
      </c>
      <c r="C13" s="4" t="s">
        <v>21</v>
      </c>
    </row>
    <row r="14" customFormat="false" ht="15" hidden="false" customHeight="false" outlineLevel="0" collapsed="false">
      <c r="A14" s="5" t="s">
        <v>22</v>
      </c>
      <c r="B14" s="6" t="s">
        <v>23</v>
      </c>
      <c r="C14" s="7" t="s">
        <v>24</v>
      </c>
    </row>
    <row r="15" customFormat="false" ht="15" hidden="false" customHeight="false" outlineLevel="0" collapsed="false">
      <c r="A15" s="5" t="s">
        <v>25</v>
      </c>
      <c r="B15" s="6" t="s">
        <v>23</v>
      </c>
      <c r="C15" s="7" t="s">
        <v>26</v>
      </c>
    </row>
    <row r="16" customFormat="false" ht="15" hidden="false" customHeight="false" outlineLevel="0" collapsed="false">
      <c r="A16" s="5" t="s">
        <v>27</v>
      </c>
      <c r="B16" s="6" t="s">
        <v>28</v>
      </c>
      <c r="C16" s="7" t="s">
        <v>29</v>
      </c>
    </row>
    <row r="17" customFormat="false" ht="15" hidden="false" customHeight="false" outlineLevel="0" collapsed="false">
      <c r="A17" s="5" t="s">
        <v>30</v>
      </c>
      <c r="B17" s="6" t="s">
        <v>28</v>
      </c>
      <c r="C17" s="7" t="s">
        <v>31</v>
      </c>
    </row>
    <row r="18" customFormat="false" ht="15" hidden="false" customHeight="false" outlineLevel="0" collapsed="false">
      <c r="A18" s="5" t="s">
        <v>32</v>
      </c>
      <c r="B18" s="6" t="s">
        <v>23</v>
      </c>
      <c r="C18" s="7" t="s">
        <v>33</v>
      </c>
    </row>
  </sheetData>
  <dataValidations count="2">
    <dataValidation allowBlank="true" errorStyle="stop" operator="between" showDropDown="false" showErrorMessage="false" showInputMessage="false" sqref="B9" type="list">
      <formula1>"Chiffre d'affaires,Nombre de lots"</formula1>
      <formula2>0</formula2>
    </dataValidation>
    <dataValidation allowBlank="true" errorStyle="stop" operator="between" showDropDown="false" showErrorMessage="false" showInputMessage="false" sqref="B14:B18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24"/>
    <col collapsed="false" customWidth="true" hidden="false" outlineLevel="0" max="12" min="11" style="0" width="14"/>
    <col collapsed="false" customWidth="true" hidden="false" outlineLevel="0" max="13" min="13" style="0" width="1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2"/>
    <col collapsed="false" customWidth="true" hidden="false" outlineLevel="0" max="17" min="17" style="0" width="30"/>
  </cols>
  <sheetData>
    <row r="1" customFormat="false" ht="24" hidden="false" customHeight="tru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5" customFormat="false" ht="57.75" hidden="false" customHeight="true" outlineLevel="0" collapsed="false">
      <c r="A5" s="3" t="s">
        <v>36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19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 t="s">
        <v>50</v>
      </c>
      <c r="Q5" s="4" t="s">
        <v>51</v>
      </c>
    </row>
    <row r="6" customFormat="false" ht="15" hidden="false" customHeight="false" outlineLevel="0" collapsed="false">
      <c r="A6" s="13" t="s">
        <v>52</v>
      </c>
      <c r="B6" s="13" t="s">
        <v>53</v>
      </c>
      <c r="C6" s="13" t="s">
        <v>54</v>
      </c>
      <c r="D6" s="14" t="n">
        <v>42</v>
      </c>
      <c r="E6" s="15" t="n">
        <v>258000</v>
      </c>
      <c r="F6" s="15" t="n">
        <v>255000</v>
      </c>
      <c r="G6" s="16" t="n">
        <f aca="false">IF(F6&gt;0,F6,E6)</f>
        <v>255000</v>
      </c>
      <c r="H6" s="17" t="n">
        <f aca="false">IF(D6&gt;0,G6/D6,0)</f>
        <v>6071.42857142857</v>
      </c>
      <c r="I6" s="13" t="s">
        <v>30</v>
      </c>
      <c r="J6" s="13" t="s">
        <v>55</v>
      </c>
      <c r="K6" s="8" t="n">
        <v>46090</v>
      </c>
      <c r="L6" s="8" t="n">
        <v>46203</v>
      </c>
      <c r="M6" s="18" t="str">
        <f aca="false">IFERROR(INDEX(Paramètres!$B$14:$B$18,MATCH(I6,Paramètres!$A$14:$A$18,0)),"Non")</f>
        <v>Oui</v>
      </c>
      <c r="N6" s="19" t="str">
        <f aca="false">IF(AND(I6="Réservé",K6&lt;&gt;""),DATE_POINT-K6,"")</f>
        <v/>
      </c>
      <c r="O6" s="19" t="n">
        <f aca="false">IF(AND(K6&lt;&gt;"",L6&lt;&gt;""),L6-K6,"")</f>
        <v>113</v>
      </c>
      <c r="P6" s="20" t="n">
        <f aca="false">IF(AND(F6&gt;0,E6&gt;0),F6/E6-1,"")</f>
        <v>-0.0116279069767442</v>
      </c>
      <c r="Q6" s="5" t="str">
        <f aca="false">IF(COUNTIF(Paramètres!$A$14:$A$18,I6)=0,"Statut inconnu",IF(AND(I6="Acte signé",L6=""),"Date d'acte manquante",IF(AND(L6&lt;&gt;"",I6&lt;&gt;"Acte signé"),"Date d'acte sur un lot non acté",IF(AND(I6="Réservé",K6=""),"Date de réservation manquante",IF(AND(K6&lt;&gt;"",L6&lt;&gt;"",L6&lt;K6),"Acte avant la réservation",IF(AND(I6="Réservé",N6&lt;&gt;"",N6&gt;DELAI_ALERTE),"Réservation ancienne",IF(AND(M6="Oui",J6=""),"Acquéreur manquant","OK")))))))</f>
        <v>OK</v>
      </c>
    </row>
    <row r="7" customFormat="false" ht="15" hidden="false" customHeight="false" outlineLevel="0" collapsed="false">
      <c r="A7" s="13" t="s">
        <v>56</v>
      </c>
      <c r="B7" s="13" t="s">
        <v>57</v>
      </c>
      <c r="C7" s="13" t="s">
        <v>54</v>
      </c>
      <c r="D7" s="14" t="n">
        <v>61</v>
      </c>
      <c r="E7" s="15" t="n">
        <v>385000</v>
      </c>
      <c r="F7" s="15" t="n">
        <v>385000</v>
      </c>
      <c r="G7" s="16" t="n">
        <f aca="false">IF(F7&gt;0,F7,E7)</f>
        <v>385000</v>
      </c>
      <c r="H7" s="17" t="n">
        <f aca="false">IF(D7&gt;0,G7/D7,0)</f>
        <v>6311.47540983607</v>
      </c>
      <c r="I7" s="13" t="s">
        <v>30</v>
      </c>
      <c r="J7" s="13" t="s">
        <v>58</v>
      </c>
      <c r="K7" s="8" t="n">
        <v>46102</v>
      </c>
      <c r="L7" s="8" t="n">
        <v>46218</v>
      </c>
      <c r="M7" s="18" t="str">
        <f aca="false">IFERROR(INDEX(Paramètres!$B$14:$B$18,MATCH(I7,Paramètres!$A$14:$A$18,0)),"Non")</f>
        <v>Oui</v>
      </c>
      <c r="N7" s="19" t="str">
        <f aca="false">IF(AND(I7="Réservé",K7&lt;&gt;""),DATE_POINT-K7,"")</f>
        <v/>
      </c>
      <c r="O7" s="19" t="n">
        <f aca="false">IF(AND(K7&lt;&gt;"",L7&lt;&gt;""),L7-K7,"")</f>
        <v>116</v>
      </c>
      <c r="P7" s="20" t="n">
        <f aca="false">IF(AND(F7&gt;0,E7&gt;0),F7/E7-1,"")</f>
        <v>0</v>
      </c>
      <c r="Q7" s="5" t="str">
        <f aca="false">IF(COUNTIF(Paramètres!$A$14:$A$18,I7)=0,"Statut inconnu",IF(AND(I7="Acte signé",L7=""),"Date d'acte manquante",IF(AND(L7&lt;&gt;"",I7&lt;&gt;"Acte signé"),"Date d'acte sur un lot non acté",IF(AND(I7="Réservé",K7=""),"Date de réservation manquante",IF(AND(K7&lt;&gt;"",L7&lt;&gt;"",L7&lt;K7),"Acte avant la réservation",IF(AND(I7="Réservé",N7&lt;&gt;"",N7&gt;DELAI_ALERTE),"Réservation ancienne",IF(AND(M7="Oui",J7=""),"Acquéreur manquant","OK")))))))</f>
        <v>OK</v>
      </c>
    </row>
    <row r="8" customFormat="false" ht="15" hidden="false" customHeight="false" outlineLevel="0" collapsed="false">
      <c r="A8" s="13" t="s">
        <v>59</v>
      </c>
      <c r="B8" s="13" t="s">
        <v>53</v>
      </c>
      <c r="C8" s="13" t="s">
        <v>60</v>
      </c>
      <c r="D8" s="14" t="n">
        <v>43</v>
      </c>
      <c r="E8" s="15" t="n">
        <v>275000</v>
      </c>
      <c r="F8" s="15" t="n">
        <v>272000</v>
      </c>
      <c r="G8" s="16" t="n">
        <f aca="false">IF(F8&gt;0,F8,E8)</f>
        <v>272000</v>
      </c>
      <c r="H8" s="17" t="n">
        <f aca="false">IF(D8&gt;0,G8/D8,0)</f>
        <v>6325.58139534884</v>
      </c>
      <c r="I8" s="13" t="s">
        <v>30</v>
      </c>
      <c r="J8" s="13" t="s">
        <v>61</v>
      </c>
      <c r="K8" s="8" t="n">
        <v>46114</v>
      </c>
      <c r="L8" s="8" t="n">
        <v>46218</v>
      </c>
      <c r="M8" s="18" t="str">
        <f aca="false">IFERROR(INDEX(Paramètres!$B$14:$B$18,MATCH(I8,Paramètres!$A$14:$A$18,0)),"Non")</f>
        <v>Oui</v>
      </c>
      <c r="N8" s="19" t="str">
        <f aca="false">IF(AND(I8="Réservé",K8&lt;&gt;""),DATE_POINT-K8,"")</f>
        <v/>
      </c>
      <c r="O8" s="19" t="n">
        <f aca="false">IF(AND(K8&lt;&gt;"",L8&lt;&gt;""),L8-K8,"")</f>
        <v>104</v>
      </c>
      <c r="P8" s="20" t="n">
        <f aca="false">IF(AND(F8&gt;0,E8&gt;0),F8/E8-1,"")</f>
        <v>-0.0109090909090909</v>
      </c>
      <c r="Q8" s="5" t="str">
        <f aca="false">IF(COUNTIF(Paramètres!$A$14:$A$18,I8)=0,"Statut inconnu",IF(AND(I8="Acte signé",L8=""),"Date d'acte manquante",IF(AND(L8&lt;&gt;"",I8&lt;&gt;"Acte signé"),"Date d'acte sur un lot non acté",IF(AND(I8="Réservé",K8=""),"Date de réservation manquante",IF(AND(K8&lt;&gt;"",L8&lt;&gt;"",L8&lt;K8),"Acte avant la réservation",IF(AND(I8="Réservé",N8&lt;&gt;"",N8&gt;DELAI_ALERTE),"Réservation ancienne",IF(AND(M8="Oui",J8=""),"Acquéreur manquant","OK")))))))</f>
        <v>OK</v>
      </c>
    </row>
    <row r="9" customFormat="false" ht="15" hidden="false" customHeight="false" outlineLevel="0" collapsed="false">
      <c r="A9" s="13" t="s">
        <v>62</v>
      </c>
      <c r="B9" s="13" t="s">
        <v>57</v>
      </c>
      <c r="C9" s="13" t="s">
        <v>60</v>
      </c>
      <c r="D9" s="14" t="n">
        <v>62</v>
      </c>
      <c r="E9" s="15" t="n">
        <v>402000</v>
      </c>
      <c r="F9" s="15"/>
      <c r="G9" s="16" t="n">
        <f aca="false">IF(F9&gt;0,F9,E9)</f>
        <v>402000</v>
      </c>
      <c r="H9" s="17" t="n">
        <f aca="false">IF(D9&gt;0,G9/D9,0)</f>
        <v>6483.87096774194</v>
      </c>
      <c r="I9" s="13" t="s">
        <v>27</v>
      </c>
      <c r="J9" s="13" t="s">
        <v>63</v>
      </c>
      <c r="K9" s="8" t="n">
        <v>46191</v>
      </c>
      <c r="L9" s="8"/>
      <c r="M9" s="18" t="str">
        <f aca="false">IFERROR(INDEX(Paramètres!$B$14:$B$18,MATCH(I9,Paramètres!$A$14:$A$18,0)),"Non")</f>
        <v>Oui</v>
      </c>
      <c r="N9" s="19" t="n">
        <f aca="false">IF(AND(I9="Réservé",K9&lt;&gt;""),DATE_POINT-K9,"")</f>
        <v>104</v>
      </c>
      <c r="O9" s="19" t="str">
        <f aca="false">IF(AND(K9&lt;&gt;"",L9&lt;&gt;""),L9-K9,"")</f>
        <v/>
      </c>
      <c r="P9" s="20" t="str">
        <f aca="false">IF(AND(F9&gt;0,E9&gt;0),F9/E9-1,"")</f>
        <v/>
      </c>
      <c r="Q9" s="5" t="str">
        <f aca="false">IF(COUNTIF(Paramètres!$A$14:$A$18,I9)=0,"Statut inconnu",IF(AND(I9="Acte signé",L9=""),"Date d'acte manquante",IF(AND(L9&lt;&gt;"",I9&lt;&gt;"Acte signé"),"Date d'acte sur un lot non acté",IF(AND(I9="Réservé",K9=""),"Date de réservation manquante",IF(AND(K9&lt;&gt;"",L9&lt;&gt;"",L9&lt;K9),"Acte avant la réservation",IF(AND(I9="Réservé",N9&lt;&gt;"",N9&gt;DELAI_ALERTE),"Réservation ancienne",IF(AND(M9="Oui",J9=""),"Acquéreur manquant","OK")))))))</f>
        <v>OK</v>
      </c>
    </row>
    <row r="10" customFormat="false" ht="15" hidden="false" customHeight="false" outlineLevel="0" collapsed="false">
      <c r="A10" s="13" t="s">
        <v>64</v>
      </c>
      <c r="B10" s="13" t="s">
        <v>65</v>
      </c>
      <c r="C10" s="13" t="s">
        <v>60</v>
      </c>
      <c r="D10" s="14" t="n">
        <v>80</v>
      </c>
      <c r="E10" s="15" t="n">
        <v>520000</v>
      </c>
      <c r="F10" s="15"/>
      <c r="G10" s="16" t="n">
        <f aca="false">IF(F10&gt;0,F10,E10)</f>
        <v>520000</v>
      </c>
      <c r="H10" s="17" t="n">
        <f aca="false">IF(D10&gt;0,G10/D10,0)</f>
        <v>6500</v>
      </c>
      <c r="I10" s="13" t="s">
        <v>27</v>
      </c>
      <c r="J10" s="13" t="s">
        <v>66</v>
      </c>
      <c r="K10" s="8" t="n">
        <v>46147</v>
      </c>
      <c r="L10" s="8"/>
      <c r="M10" s="18" t="str">
        <f aca="false">IFERROR(INDEX(Paramètres!$B$14:$B$18,MATCH(I10,Paramètres!$A$14:$A$18,0)),"Non")</f>
        <v>Oui</v>
      </c>
      <c r="N10" s="19" t="n">
        <f aca="false">IF(AND(I10="Réservé",K10&lt;&gt;""),DATE_POINT-K10,"")</f>
        <v>148</v>
      </c>
      <c r="O10" s="19" t="str">
        <f aca="false">IF(AND(K10&lt;&gt;"",L10&lt;&gt;""),L10-K10,"")</f>
        <v/>
      </c>
      <c r="P10" s="20" t="str">
        <f aca="false">IF(AND(F10&gt;0,E10&gt;0),F10/E10-1,"")</f>
        <v/>
      </c>
      <c r="Q10" s="5" t="str">
        <f aca="false">IF(COUNTIF(Paramètres!$A$14:$A$18,I10)=0,"Statut inconnu",IF(AND(I10="Acte signé",L10=""),"Date d'acte manquante",IF(AND(L10&lt;&gt;"",I10&lt;&gt;"Acte signé"),"Date d'acte sur un lot non acté",IF(AND(I10="Réservé",K10=""),"Date de réservation manquante",IF(AND(K10&lt;&gt;"",L10&lt;&gt;"",L10&lt;K10),"Acte avant la réservation",IF(AND(I10="Réservé",N10&lt;&gt;"",N10&gt;DELAI_ALERTE),"Réservation ancienne",IF(AND(M10="Oui",J10=""),"Acquéreur manquant","OK")))))))</f>
        <v>OK</v>
      </c>
    </row>
    <row r="11" customFormat="false" ht="15" hidden="false" customHeight="false" outlineLevel="0" collapsed="false">
      <c r="A11" s="13" t="s">
        <v>67</v>
      </c>
      <c r="B11" s="13" t="s">
        <v>57</v>
      </c>
      <c r="C11" s="13" t="s">
        <v>68</v>
      </c>
      <c r="D11" s="14" t="n">
        <v>63</v>
      </c>
      <c r="E11" s="15" t="n">
        <v>418000</v>
      </c>
      <c r="F11" s="15"/>
      <c r="G11" s="16" t="n">
        <f aca="false">IF(F11&gt;0,F11,E11)</f>
        <v>418000</v>
      </c>
      <c r="H11" s="17" t="n">
        <f aca="false">IF(D11&gt;0,G11/D11,0)</f>
        <v>6634.92063492064</v>
      </c>
      <c r="I11" s="13" t="s">
        <v>27</v>
      </c>
      <c r="J11" s="13" t="s">
        <v>69</v>
      </c>
      <c r="K11" s="8" t="n">
        <v>46073</v>
      </c>
      <c r="L11" s="8"/>
      <c r="M11" s="18" t="str">
        <f aca="false">IFERROR(INDEX(Paramètres!$B$14:$B$18,MATCH(I11,Paramètres!$A$14:$A$18,0)),"Non")</f>
        <v>Oui</v>
      </c>
      <c r="N11" s="19" t="n">
        <f aca="false">IF(AND(I11="Réservé",K11&lt;&gt;""),DATE_POINT-K11,"")</f>
        <v>222</v>
      </c>
      <c r="O11" s="19" t="str">
        <f aca="false">IF(AND(K11&lt;&gt;"",L11&lt;&gt;""),L11-K11,"")</f>
        <v/>
      </c>
      <c r="P11" s="20" t="str">
        <f aca="false">IF(AND(F11&gt;0,E11&gt;0),F11/E11-1,"")</f>
        <v/>
      </c>
      <c r="Q11" s="5" t="str">
        <f aca="false">IF(COUNTIF(Paramètres!$A$14:$A$18,I11)=0,"Statut inconnu",IF(AND(I11="Acte signé",L11=""),"Date d'acte manquante",IF(AND(L11&lt;&gt;"",I11&lt;&gt;"Acte signé"),"Date d'acte sur un lot non acté",IF(AND(I11="Réservé",K11=""),"Date de réservation manquante",IF(AND(K11&lt;&gt;"",L11&lt;&gt;"",L11&lt;K11),"Acte avant la réservation",IF(AND(I11="Réservé",N11&lt;&gt;"",N11&gt;DELAI_ALERTE),"Réservation ancienne",IF(AND(M11="Oui",J11=""),"Acquéreur manquant","OK")))))))</f>
        <v>Réservation ancienne</v>
      </c>
    </row>
    <row r="12" customFormat="false" ht="15" hidden="false" customHeight="false" outlineLevel="0" collapsed="false">
      <c r="A12" s="13" t="s">
        <v>70</v>
      </c>
      <c r="B12" s="13" t="s">
        <v>53</v>
      </c>
      <c r="C12" s="13" t="s">
        <v>68</v>
      </c>
      <c r="D12" s="14" t="n">
        <v>43</v>
      </c>
      <c r="E12" s="15" t="n">
        <v>284000</v>
      </c>
      <c r="F12" s="15"/>
      <c r="G12" s="16" t="n">
        <f aca="false">IF(F12&gt;0,F12,E12)</f>
        <v>284000</v>
      </c>
      <c r="H12" s="17" t="n">
        <f aca="false">IF(D12&gt;0,G12/D12,0)</f>
        <v>6604.6511627907</v>
      </c>
      <c r="I12" s="13" t="s">
        <v>25</v>
      </c>
      <c r="J12" s="13" t="s">
        <v>71</v>
      </c>
      <c r="K12" s="8"/>
      <c r="L12" s="8"/>
      <c r="M12" s="18" t="str">
        <f aca="false">IFERROR(INDEX(Paramètres!$B$14:$B$18,MATCH(I12,Paramètres!$A$14:$A$18,0)),"Non")</f>
        <v>Non</v>
      </c>
      <c r="N12" s="19" t="str">
        <f aca="false">IF(AND(I12="Réservé",K12&lt;&gt;""),DATE_POINT-K12,"")</f>
        <v/>
      </c>
      <c r="O12" s="19" t="str">
        <f aca="false">IF(AND(K12&lt;&gt;"",L12&lt;&gt;""),L12-K12,"")</f>
        <v/>
      </c>
      <c r="P12" s="20" t="str">
        <f aca="false">IF(AND(F12&gt;0,E12&gt;0),F12/E12-1,"")</f>
        <v/>
      </c>
      <c r="Q12" s="5" t="str">
        <f aca="false">IF(COUNTIF(Paramètres!$A$14:$A$18,I12)=0,"Statut inconnu",IF(AND(I12="Acte signé",L12=""),"Date d'acte manquante",IF(AND(L12&lt;&gt;"",I12&lt;&gt;"Acte signé"),"Date d'acte sur un lot non acté",IF(AND(I12="Réservé",K12=""),"Date de réservation manquante",IF(AND(K12&lt;&gt;"",L12&lt;&gt;"",L12&lt;K12),"Acte avant la réservation",IF(AND(I12="Réservé",N12&lt;&gt;"",N12&gt;DELAI_ALERTE),"Réservation ancienne",IF(AND(M12="Oui",J12=""),"Acquéreur manquant","OK")))))))</f>
        <v>OK</v>
      </c>
    </row>
    <row r="13" customFormat="false" ht="15" hidden="false" customHeight="false" outlineLevel="0" collapsed="false">
      <c r="A13" s="13" t="s">
        <v>72</v>
      </c>
      <c r="B13" s="13" t="s">
        <v>65</v>
      </c>
      <c r="C13" s="13" t="s">
        <v>68</v>
      </c>
      <c r="D13" s="14" t="n">
        <v>82</v>
      </c>
      <c r="E13" s="15" t="n">
        <v>545000</v>
      </c>
      <c r="F13" s="15" t="n">
        <v>540000</v>
      </c>
      <c r="G13" s="16" t="n">
        <f aca="false">IF(F13&gt;0,F13,E13)</f>
        <v>540000</v>
      </c>
      <c r="H13" s="17" t="n">
        <f aca="false">IF(D13&gt;0,G13/D13,0)</f>
        <v>6585.36585365854</v>
      </c>
      <c r="I13" s="13" t="s">
        <v>30</v>
      </c>
      <c r="J13" s="13" t="s">
        <v>73</v>
      </c>
      <c r="K13" s="8" t="n">
        <v>46050</v>
      </c>
      <c r="L13" s="8" t="n">
        <v>46164</v>
      </c>
      <c r="M13" s="18" t="str">
        <f aca="false">IFERROR(INDEX(Paramètres!$B$14:$B$18,MATCH(I13,Paramètres!$A$14:$A$18,0)),"Non")</f>
        <v>Oui</v>
      </c>
      <c r="N13" s="19" t="str">
        <f aca="false">IF(AND(I13="Réservé",K13&lt;&gt;""),DATE_POINT-K13,"")</f>
        <v/>
      </c>
      <c r="O13" s="19" t="n">
        <f aca="false">IF(AND(K13&lt;&gt;"",L13&lt;&gt;""),L13-K13,"")</f>
        <v>114</v>
      </c>
      <c r="P13" s="20" t="n">
        <f aca="false">IF(AND(F13&gt;0,E13&gt;0),F13/E13-1,"")</f>
        <v>-0.00917431192660545</v>
      </c>
      <c r="Q13" s="5" t="str">
        <f aca="false">IF(COUNTIF(Paramètres!$A$14:$A$18,I13)=0,"Statut inconnu",IF(AND(I13="Acte signé",L13=""),"Date d'acte manquante",IF(AND(L13&lt;&gt;"",I13&lt;&gt;"Acte signé"),"Date d'acte sur un lot non acté",IF(AND(I13="Réservé",K13=""),"Date de réservation manquante",IF(AND(K13&lt;&gt;"",L13&lt;&gt;"",L13&lt;K13),"Acte avant la réservation",IF(AND(I13="Réservé",N13&lt;&gt;"",N13&gt;DELAI_ALERTE),"Réservation ancienne",IF(AND(M13="Oui",J13=""),"Acquéreur manquant","OK")))))))</f>
        <v>OK</v>
      </c>
    </row>
    <row r="14" customFormat="false" ht="15" hidden="false" customHeight="false" outlineLevel="0" collapsed="false">
      <c r="A14" s="13" t="s">
        <v>74</v>
      </c>
      <c r="B14" s="13" t="s">
        <v>57</v>
      </c>
      <c r="C14" s="13" t="s">
        <v>75</v>
      </c>
      <c r="D14" s="14" t="n">
        <v>64</v>
      </c>
      <c r="E14" s="15" t="n">
        <v>430000</v>
      </c>
      <c r="F14" s="15"/>
      <c r="G14" s="16" t="n">
        <f aca="false">IF(F14&gt;0,F14,E14)</f>
        <v>430000</v>
      </c>
      <c r="H14" s="17" t="n">
        <f aca="false">IF(D14&gt;0,G14/D14,0)</f>
        <v>6718.75</v>
      </c>
      <c r="I14" s="13" t="s">
        <v>22</v>
      </c>
      <c r="J14" s="13"/>
      <c r="K14" s="8"/>
      <c r="L14" s="8"/>
      <c r="M14" s="18" t="str">
        <f aca="false">IFERROR(INDEX(Paramètres!$B$14:$B$18,MATCH(I14,Paramètres!$A$14:$A$18,0)),"Non")</f>
        <v>Non</v>
      </c>
      <c r="N14" s="19" t="str">
        <f aca="false">IF(AND(I14="Réservé",K14&lt;&gt;""),DATE_POINT-K14,"")</f>
        <v/>
      </c>
      <c r="O14" s="19" t="str">
        <f aca="false">IF(AND(K14&lt;&gt;"",L14&lt;&gt;""),L14-K14,"")</f>
        <v/>
      </c>
      <c r="P14" s="20" t="str">
        <f aca="false">IF(AND(F14&gt;0,E14&gt;0),F14/E14-1,"")</f>
        <v/>
      </c>
      <c r="Q14" s="5" t="str">
        <f aca="false">IF(COUNTIF(Paramètres!$A$14:$A$18,I14)=0,"Statut inconnu",IF(AND(I14="Acte signé",L14=""),"Date d'acte manquante",IF(AND(L14&lt;&gt;"",I14&lt;&gt;"Acte signé"),"Date d'acte sur un lot non acté",IF(AND(I14="Réservé",K14=""),"Date de réservation manquante",IF(AND(K14&lt;&gt;"",L14&lt;&gt;"",L14&lt;K14),"Acte avant la réservation",IF(AND(I14="Réservé",N14&lt;&gt;"",N14&gt;DELAI_ALERTE),"Réservation ancienne",IF(AND(M14="Oui",J14=""),"Acquéreur manquant","OK")))))))</f>
        <v>OK</v>
      </c>
    </row>
    <row r="15" customFormat="false" ht="15" hidden="false" customHeight="false" outlineLevel="0" collapsed="false">
      <c r="A15" s="13" t="s">
        <v>76</v>
      </c>
      <c r="B15" s="13" t="s">
        <v>53</v>
      </c>
      <c r="C15" s="13" t="s">
        <v>75</v>
      </c>
      <c r="D15" s="14" t="n">
        <v>44</v>
      </c>
      <c r="E15" s="15" t="n">
        <v>296000</v>
      </c>
      <c r="F15" s="15"/>
      <c r="G15" s="16" t="n">
        <f aca="false">IF(F15&gt;0,F15,E15)</f>
        <v>296000</v>
      </c>
      <c r="H15" s="17" t="n">
        <f aca="false">IF(D15&gt;0,G15/D15,0)</f>
        <v>6727.27272727273</v>
      </c>
      <c r="I15" s="13" t="s">
        <v>32</v>
      </c>
      <c r="J15" s="13" t="s">
        <v>77</v>
      </c>
      <c r="K15" s="8" t="n">
        <v>46126</v>
      </c>
      <c r="L15" s="8"/>
      <c r="M15" s="18" t="str">
        <f aca="false">IFERROR(INDEX(Paramètres!$B$14:$B$18,MATCH(I15,Paramètres!$A$14:$A$18,0)),"Non")</f>
        <v>Non</v>
      </c>
      <c r="N15" s="19" t="str">
        <f aca="false">IF(AND(I15="Réservé",K15&lt;&gt;""),DATE_POINT-K15,"")</f>
        <v/>
      </c>
      <c r="O15" s="19" t="str">
        <f aca="false">IF(AND(K15&lt;&gt;"",L15&lt;&gt;""),L15-K15,"")</f>
        <v/>
      </c>
      <c r="P15" s="20" t="str">
        <f aca="false">IF(AND(F15&gt;0,E15&gt;0),F15/E15-1,"")</f>
        <v/>
      </c>
      <c r="Q15" s="5" t="str">
        <f aca="false">IF(COUNTIF(Paramètres!$A$14:$A$18,I15)=0,"Statut inconnu",IF(AND(I15="Acte signé",L15=""),"Date d'acte manquante",IF(AND(L15&lt;&gt;"",I15&lt;&gt;"Acte signé"),"Date d'acte sur un lot non acté",IF(AND(I15="Réservé",K15=""),"Date de réservation manquante",IF(AND(K15&lt;&gt;"",L15&lt;&gt;"",L15&lt;K15),"Acte avant la réservation",IF(AND(I15="Réservé",N15&lt;&gt;"",N15&gt;DELAI_ALERTE),"Réservation ancienne",IF(AND(M15="Oui",J15=""),"Acquéreur manquant","OK")))))))</f>
        <v>OK</v>
      </c>
    </row>
    <row r="16" customFormat="false" ht="15" hidden="false" customHeight="false" outlineLevel="0" collapsed="false">
      <c r="A16" s="13" t="s">
        <v>78</v>
      </c>
      <c r="B16" s="13" t="s">
        <v>65</v>
      </c>
      <c r="C16" s="13" t="s">
        <v>75</v>
      </c>
      <c r="D16" s="14" t="n">
        <v>83</v>
      </c>
      <c r="E16" s="15" t="n">
        <v>558000</v>
      </c>
      <c r="F16" s="15"/>
      <c r="G16" s="16" t="n">
        <f aca="false">IF(F16&gt;0,F16,E16)</f>
        <v>558000</v>
      </c>
      <c r="H16" s="17" t="n">
        <f aca="false">IF(D16&gt;0,G16/D16,0)</f>
        <v>6722.89156626506</v>
      </c>
      <c r="I16" s="13" t="s">
        <v>22</v>
      </c>
      <c r="J16" s="13"/>
      <c r="K16" s="8"/>
      <c r="L16" s="8"/>
      <c r="M16" s="18" t="str">
        <f aca="false">IFERROR(INDEX(Paramètres!$B$14:$B$18,MATCH(I16,Paramètres!$A$14:$A$18,0)),"Non")</f>
        <v>Non</v>
      </c>
      <c r="N16" s="19" t="str">
        <f aca="false">IF(AND(I16="Réservé",K16&lt;&gt;""),DATE_POINT-K16,"")</f>
        <v/>
      </c>
      <c r="O16" s="19" t="str">
        <f aca="false">IF(AND(K16&lt;&gt;"",L16&lt;&gt;""),L16-K16,"")</f>
        <v/>
      </c>
      <c r="P16" s="20" t="str">
        <f aca="false">IF(AND(F16&gt;0,E16&gt;0),F16/E16-1,"")</f>
        <v/>
      </c>
      <c r="Q16" s="5" t="str">
        <f aca="false">IF(COUNTIF(Paramètres!$A$14:$A$18,I16)=0,"Statut inconnu",IF(AND(I16="Acte signé",L16=""),"Date d'acte manquante",IF(AND(L16&lt;&gt;"",I16&lt;&gt;"Acte signé"),"Date d'acte sur un lot non acté",IF(AND(I16="Réservé",K16=""),"Date de réservation manquante",IF(AND(K16&lt;&gt;"",L16&lt;&gt;"",L16&lt;K16),"Acte avant la réservation",IF(AND(I16="Réservé",N16&lt;&gt;"",N16&gt;DELAI_ALERTE),"Réservation ancienne",IF(AND(M16="Oui",J16=""),"Acquéreur manquant","OK")))))))</f>
        <v>OK</v>
      </c>
    </row>
    <row r="17" customFormat="false" ht="15" hidden="false" customHeight="false" outlineLevel="0" collapsed="false">
      <c r="A17" s="13" t="s">
        <v>79</v>
      </c>
      <c r="B17" s="13" t="s">
        <v>57</v>
      </c>
      <c r="C17" s="13" t="s">
        <v>80</v>
      </c>
      <c r="D17" s="14" t="n">
        <v>65</v>
      </c>
      <c r="E17" s="15" t="n">
        <v>452000</v>
      </c>
      <c r="F17" s="15"/>
      <c r="G17" s="16" t="n">
        <f aca="false">IF(F17&gt;0,F17,E17)</f>
        <v>452000</v>
      </c>
      <c r="H17" s="17" t="n">
        <f aca="false">IF(D17&gt;0,G17/D17,0)</f>
        <v>6953.84615384615</v>
      </c>
      <c r="I17" s="13" t="s">
        <v>27</v>
      </c>
      <c r="J17" s="13" t="s">
        <v>81</v>
      </c>
      <c r="K17" s="8" t="n">
        <v>46258</v>
      </c>
      <c r="L17" s="8"/>
      <c r="M17" s="18" t="str">
        <f aca="false">IFERROR(INDEX(Paramètres!$B$14:$B$18,MATCH(I17,Paramètres!$A$14:$A$18,0)),"Non")</f>
        <v>Oui</v>
      </c>
      <c r="N17" s="19" t="n">
        <f aca="false">IF(AND(I17="Réservé",K17&lt;&gt;""),DATE_POINT-K17,"")</f>
        <v>37</v>
      </c>
      <c r="O17" s="19" t="str">
        <f aca="false">IF(AND(K17&lt;&gt;"",L17&lt;&gt;""),L17-K17,"")</f>
        <v/>
      </c>
      <c r="P17" s="20" t="str">
        <f aca="false">IF(AND(F17&gt;0,E17&gt;0),F17/E17-1,"")</f>
        <v/>
      </c>
      <c r="Q17" s="5" t="str">
        <f aca="false">IF(COUNTIF(Paramètres!$A$14:$A$18,I17)=0,"Statut inconnu",IF(AND(I17="Acte signé",L17=""),"Date d'acte manquante",IF(AND(L17&lt;&gt;"",I17&lt;&gt;"Acte signé"),"Date d'acte sur un lot non acté",IF(AND(I17="Réservé",K17=""),"Date de réservation manquante",IF(AND(K17&lt;&gt;"",L17&lt;&gt;"",L17&lt;K17),"Acte avant la réservation",IF(AND(I17="Réservé",N17&lt;&gt;"",N17&gt;DELAI_ALERTE),"Réservation ancienne",IF(AND(M17="Oui",J17=""),"Acquéreur manquant","OK")))))))</f>
        <v>OK</v>
      </c>
    </row>
    <row r="18" customFormat="false" ht="15" hidden="false" customHeight="false" outlineLevel="0" collapsed="false">
      <c r="A18" s="13" t="s">
        <v>82</v>
      </c>
      <c r="B18" s="13" t="s">
        <v>65</v>
      </c>
      <c r="C18" s="13" t="s">
        <v>80</v>
      </c>
      <c r="D18" s="14" t="n">
        <v>85</v>
      </c>
      <c r="E18" s="15" t="n">
        <v>590000</v>
      </c>
      <c r="F18" s="15"/>
      <c r="G18" s="16" t="n">
        <f aca="false">IF(F18&gt;0,F18,E18)</f>
        <v>590000</v>
      </c>
      <c r="H18" s="17" t="n">
        <f aca="false">IF(D18&gt;0,G18/D18,0)</f>
        <v>6941.17647058824</v>
      </c>
      <c r="I18" s="13" t="s">
        <v>22</v>
      </c>
      <c r="J18" s="13"/>
      <c r="K18" s="8"/>
      <c r="L18" s="8"/>
      <c r="M18" s="18" t="str">
        <f aca="false">IFERROR(INDEX(Paramètres!$B$14:$B$18,MATCH(I18,Paramètres!$A$14:$A$18,0)),"Non")</f>
        <v>Non</v>
      </c>
      <c r="N18" s="19" t="str">
        <f aca="false">IF(AND(I18="Réservé",K18&lt;&gt;""),DATE_POINT-K18,"")</f>
        <v/>
      </c>
      <c r="O18" s="19" t="str">
        <f aca="false">IF(AND(K18&lt;&gt;"",L18&lt;&gt;""),L18-K18,"")</f>
        <v/>
      </c>
      <c r="P18" s="20" t="str">
        <f aca="false">IF(AND(F18&gt;0,E18&gt;0),F18/E18-1,"")</f>
        <v/>
      </c>
      <c r="Q18" s="5" t="str">
        <f aca="false">IF(COUNTIF(Paramètres!$A$14:$A$18,I18)=0,"Statut inconnu",IF(AND(I18="Acte signé",L18=""),"Date d'acte manquante",IF(AND(L18&lt;&gt;"",I18&lt;&gt;"Acte signé"),"Date d'acte sur un lot non acté",IF(AND(I18="Réservé",K18=""),"Date de réservation manquante",IF(AND(K18&lt;&gt;"",L18&lt;&gt;"",L18&lt;K18),"Acte avant la réservation",IF(AND(I18="Réservé",N18&lt;&gt;"",N18&gt;DELAI_ALERTE),"Réservation ancienne",IF(AND(M18="Oui",J18=""),"Acquéreur manquant","OK")))))))</f>
        <v>OK</v>
      </c>
    </row>
    <row r="19" customFormat="false" ht="15" hidden="false" customHeight="false" outlineLevel="0" collapsed="false">
      <c r="A19" s="13" t="s">
        <v>83</v>
      </c>
      <c r="B19" s="13" t="s">
        <v>84</v>
      </c>
      <c r="C19" s="13" t="s">
        <v>85</v>
      </c>
      <c r="D19" s="14" t="n">
        <v>110</v>
      </c>
      <c r="E19" s="15" t="n">
        <v>820000</v>
      </c>
      <c r="F19" s="15"/>
      <c r="G19" s="16" t="n">
        <f aca="false">IF(F19&gt;0,F19,E19)</f>
        <v>820000</v>
      </c>
      <c r="H19" s="17" t="n">
        <f aca="false">IF(D19&gt;0,G19/D19,0)</f>
        <v>7454.54545454546</v>
      </c>
      <c r="I19" s="13" t="s">
        <v>25</v>
      </c>
      <c r="J19" s="13" t="s">
        <v>86</v>
      </c>
      <c r="K19" s="8"/>
      <c r="L19" s="8"/>
      <c r="M19" s="18" t="str">
        <f aca="false">IFERROR(INDEX(Paramètres!$B$14:$B$18,MATCH(I19,Paramètres!$A$14:$A$18,0)),"Non")</f>
        <v>Non</v>
      </c>
      <c r="N19" s="19" t="str">
        <f aca="false">IF(AND(I19="Réservé",K19&lt;&gt;""),DATE_POINT-K19,"")</f>
        <v/>
      </c>
      <c r="O19" s="19" t="str">
        <f aca="false">IF(AND(K19&lt;&gt;"",L19&lt;&gt;""),L19-K19,"")</f>
        <v/>
      </c>
      <c r="P19" s="20" t="str">
        <f aca="false">IF(AND(F19&gt;0,E19&gt;0),F19/E19-1,"")</f>
        <v/>
      </c>
      <c r="Q19" s="5" t="str">
        <f aca="false">IF(COUNTIF(Paramètres!$A$14:$A$18,I19)=0,"Statut inconnu",IF(AND(I19="Acte signé",L19=""),"Date d'acte manquante",IF(AND(L19&lt;&gt;"",I19&lt;&gt;"Acte signé"),"Date d'acte sur un lot non acté",IF(AND(I19="Réservé",K19=""),"Date de réservation manquante",IF(AND(K19&lt;&gt;"",L19&lt;&gt;"",L19&lt;K19),"Acte avant la réservation",IF(AND(I19="Réservé",N19&lt;&gt;"",N19&gt;DELAI_ALERTE),"Réservation ancienne",IF(AND(M19="Oui",J19=""),"Acquéreur manquant","OK")))))))</f>
        <v>OK</v>
      </c>
    </row>
    <row r="20" customFormat="false" ht="15" hidden="false" customHeight="false" outlineLevel="0" collapsed="false">
      <c r="A20" s="13" t="s">
        <v>87</v>
      </c>
      <c r="B20" s="13" t="s">
        <v>53</v>
      </c>
      <c r="C20" s="13" t="s">
        <v>54</v>
      </c>
      <c r="D20" s="14" t="n">
        <v>41</v>
      </c>
      <c r="E20" s="15" t="n">
        <v>252000</v>
      </c>
      <c r="F20" s="15" t="n">
        <v>250000</v>
      </c>
      <c r="G20" s="16" t="n">
        <f aca="false">IF(F20&gt;0,F20,E20)</f>
        <v>250000</v>
      </c>
      <c r="H20" s="17" t="n">
        <f aca="false">IF(D20&gt;0,G20/D20,0)</f>
        <v>6097.56097560976</v>
      </c>
      <c r="I20" s="13" t="s">
        <v>30</v>
      </c>
      <c r="J20" s="13" t="s">
        <v>88</v>
      </c>
      <c r="K20" s="8" t="n">
        <v>46064</v>
      </c>
      <c r="L20" s="8" t="n">
        <v>46164</v>
      </c>
      <c r="M20" s="18" t="str">
        <f aca="false">IFERROR(INDEX(Paramètres!$B$14:$B$18,MATCH(I20,Paramètres!$A$14:$A$18,0)),"Non")</f>
        <v>Oui</v>
      </c>
      <c r="N20" s="19" t="str">
        <f aca="false">IF(AND(I20="Réservé",K20&lt;&gt;""),DATE_POINT-K20,"")</f>
        <v/>
      </c>
      <c r="O20" s="19" t="n">
        <f aca="false">IF(AND(K20&lt;&gt;"",L20&lt;&gt;""),L20-K20,"")</f>
        <v>100</v>
      </c>
      <c r="P20" s="20" t="n">
        <f aca="false">IF(AND(F20&gt;0,E20&gt;0),F20/E20-1,"")</f>
        <v>-0.00793650793650791</v>
      </c>
      <c r="Q20" s="5" t="str">
        <f aca="false">IF(COUNTIF(Paramètres!$A$14:$A$18,I20)=0,"Statut inconnu",IF(AND(I20="Acte signé",L20=""),"Date d'acte manquante",IF(AND(L20&lt;&gt;"",I20&lt;&gt;"Acte signé"),"Date d'acte sur un lot non acté",IF(AND(I20="Réservé",K20=""),"Date de réservation manquante",IF(AND(K20&lt;&gt;"",L20&lt;&gt;"",L20&lt;K20),"Acte avant la réservation",IF(AND(I20="Réservé",N20&lt;&gt;"",N20&gt;DELAI_ALERTE),"Réservation ancienne",IF(AND(M20="Oui",J20=""),"Acquéreur manquant","OK")))))))</f>
        <v>OK</v>
      </c>
    </row>
    <row r="21" customFormat="false" ht="15" hidden="false" customHeight="false" outlineLevel="0" collapsed="false">
      <c r="A21" s="13" t="s">
        <v>89</v>
      </c>
      <c r="B21" s="13" t="s">
        <v>57</v>
      </c>
      <c r="C21" s="13" t="s">
        <v>60</v>
      </c>
      <c r="D21" s="14" t="n">
        <v>60</v>
      </c>
      <c r="E21" s="15" t="n">
        <v>380000</v>
      </c>
      <c r="F21" s="15" t="n">
        <v>380000</v>
      </c>
      <c r="G21" s="16" t="n">
        <f aca="false">IF(F21&gt;0,F21,E21)</f>
        <v>380000</v>
      </c>
      <c r="H21" s="17" t="n">
        <f aca="false">IF(D21&gt;0,G21/D21,0)</f>
        <v>6333.33333333333</v>
      </c>
      <c r="I21" s="13" t="s">
        <v>30</v>
      </c>
      <c r="J21" s="13" t="s">
        <v>90</v>
      </c>
      <c r="K21" s="8" t="n">
        <v>46111</v>
      </c>
      <c r="L21" s="8" t="n">
        <v>46233</v>
      </c>
      <c r="M21" s="18" t="str">
        <f aca="false">IFERROR(INDEX(Paramètres!$B$14:$B$18,MATCH(I21,Paramètres!$A$14:$A$18,0)),"Non")</f>
        <v>Oui</v>
      </c>
      <c r="N21" s="19" t="str">
        <f aca="false">IF(AND(I21="Réservé",K21&lt;&gt;""),DATE_POINT-K21,"")</f>
        <v/>
      </c>
      <c r="O21" s="19" t="n">
        <f aca="false">IF(AND(K21&lt;&gt;"",L21&lt;&gt;""),L21-K21,"")</f>
        <v>122</v>
      </c>
      <c r="P21" s="20" t="n">
        <f aca="false">IF(AND(F21&gt;0,E21&gt;0),F21/E21-1,"")</f>
        <v>0</v>
      </c>
      <c r="Q21" s="5" t="str">
        <f aca="false">IF(COUNTIF(Paramètres!$A$14:$A$18,I21)=0,"Statut inconnu",IF(AND(I21="Acte signé",L21=""),"Date d'acte manquante",IF(AND(L21&lt;&gt;"",I21&lt;&gt;"Acte signé"),"Date d'acte sur un lot non acté",IF(AND(I21="Réservé",K21=""),"Date de réservation manquante",IF(AND(K21&lt;&gt;"",L21&lt;&gt;"",L21&lt;K21),"Acte avant la réservation",IF(AND(I21="Réservé",N21&lt;&gt;"",N21&gt;DELAI_ALERTE),"Réservation ancienne",IF(AND(M21="Oui",J21=""),"Acquéreur manquant","OK")))))))</f>
        <v>OK</v>
      </c>
    </row>
    <row r="22" customFormat="false" ht="15" hidden="false" customHeight="false" outlineLevel="0" collapsed="false">
      <c r="A22" s="13" t="s">
        <v>91</v>
      </c>
      <c r="B22" s="13" t="s">
        <v>57</v>
      </c>
      <c r="C22" s="13" t="s">
        <v>68</v>
      </c>
      <c r="D22" s="14" t="n">
        <v>62</v>
      </c>
      <c r="E22" s="15" t="n">
        <v>410000</v>
      </c>
      <c r="F22" s="15"/>
      <c r="G22" s="16" t="n">
        <f aca="false">IF(F22&gt;0,F22,E22)</f>
        <v>410000</v>
      </c>
      <c r="H22" s="17" t="n">
        <f aca="false">IF(D22&gt;0,G22/D22,0)</f>
        <v>6612.90322580645</v>
      </c>
      <c r="I22" s="13" t="s">
        <v>27</v>
      </c>
      <c r="J22" s="13" t="s">
        <v>92</v>
      </c>
      <c r="K22" s="8" t="n">
        <v>46267</v>
      </c>
      <c r="L22" s="8"/>
      <c r="M22" s="18" t="str">
        <f aca="false">IFERROR(INDEX(Paramètres!$B$14:$B$18,MATCH(I22,Paramètres!$A$14:$A$18,0)),"Non")</f>
        <v>Oui</v>
      </c>
      <c r="N22" s="19" t="n">
        <f aca="false">IF(AND(I22="Réservé",K22&lt;&gt;""),DATE_POINT-K22,"")</f>
        <v>28</v>
      </c>
      <c r="O22" s="19" t="str">
        <f aca="false">IF(AND(K22&lt;&gt;"",L22&lt;&gt;""),L22-K22,"")</f>
        <v/>
      </c>
      <c r="P22" s="20" t="str">
        <f aca="false">IF(AND(F22&gt;0,E22&gt;0),F22/E22-1,"")</f>
        <v/>
      </c>
      <c r="Q22" s="5" t="str">
        <f aca="false">IF(COUNTIF(Paramètres!$A$14:$A$18,I22)=0,"Statut inconnu",IF(AND(I22="Acte signé",L22=""),"Date d'acte manquante",IF(AND(L22&lt;&gt;"",I22&lt;&gt;"Acte signé"),"Date d'acte sur un lot non acté",IF(AND(I22="Réservé",K22=""),"Date de réservation manquante",IF(AND(K22&lt;&gt;"",L22&lt;&gt;"",L22&lt;K22),"Acte avant la réservation",IF(AND(I22="Réservé",N22&lt;&gt;"",N22&gt;DELAI_ALERTE),"Réservation ancienne",IF(AND(M22="Oui",J22=""),"Acquéreur manquant","OK")))))))</f>
        <v>OK</v>
      </c>
    </row>
    <row r="23" customFormat="false" ht="15" hidden="false" customHeight="false" outlineLevel="0" collapsed="false">
      <c r="A23" s="13" t="s">
        <v>93</v>
      </c>
      <c r="B23" s="13" t="s">
        <v>65</v>
      </c>
      <c r="C23" s="13" t="s">
        <v>80</v>
      </c>
      <c r="D23" s="14" t="n">
        <v>86</v>
      </c>
      <c r="E23" s="15" t="n">
        <v>600000</v>
      </c>
      <c r="F23" s="15"/>
      <c r="G23" s="16" t="n">
        <f aca="false">IF(F23&gt;0,F23,E23)</f>
        <v>600000</v>
      </c>
      <c r="H23" s="17" t="n">
        <f aca="false">IF(D23&gt;0,G23/D23,0)</f>
        <v>6976.74418604651</v>
      </c>
      <c r="I23" s="13" t="s">
        <v>22</v>
      </c>
      <c r="J23" s="13"/>
      <c r="K23" s="8"/>
      <c r="L23" s="8"/>
      <c r="M23" s="18" t="str">
        <f aca="false">IFERROR(INDEX(Paramètres!$B$14:$B$18,MATCH(I23,Paramètres!$A$14:$A$18,0)),"Non")</f>
        <v>Non</v>
      </c>
      <c r="N23" s="19" t="str">
        <f aca="false">IF(AND(I23="Réservé",K23&lt;&gt;""),DATE_POINT-K23,"")</f>
        <v/>
      </c>
      <c r="O23" s="19" t="str">
        <f aca="false">IF(AND(K23&lt;&gt;"",L23&lt;&gt;""),L23-K23,"")</f>
        <v/>
      </c>
      <c r="P23" s="20" t="str">
        <f aca="false">IF(AND(F23&gt;0,E23&gt;0),F23/E23-1,"")</f>
        <v/>
      </c>
      <c r="Q23" s="5" t="str">
        <f aca="false">IF(COUNTIF(Paramètres!$A$14:$A$18,I23)=0,"Statut inconnu",IF(AND(I23="Acte signé",L23=""),"Date d'acte manquante",IF(AND(L23&lt;&gt;"",I23&lt;&gt;"Acte signé"),"Date d'acte sur un lot non acté",IF(AND(I23="Réservé",K23=""),"Date de réservation manquante",IF(AND(K23&lt;&gt;"",L23&lt;&gt;"",L23&lt;K23),"Acte avant la réservation",IF(AND(I23="Réservé",N23&lt;&gt;"",N23&gt;DELAI_ALERTE),"Réservation ancienne",IF(AND(M23="Oui",J23=""),"Acquéreur manquant","OK")))))))</f>
        <v>OK</v>
      </c>
    </row>
    <row r="24" customFormat="false" ht="15" hidden="false" customHeight="false" outlineLevel="0" collapsed="false">
      <c r="A24" s="21" t="s">
        <v>94</v>
      </c>
      <c r="B24" s="21"/>
      <c r="C24" s="21"/>
      <c r="D24" s="22" t="n">
        <f aca="false">SUM(D6:D23)</f>
        <v>1176</v>
      </c>
      <c r="E24" s="23" t="n">
        <f aca="false">SUM(E6:E23)</f>
        <v>7875000</v>
      </c>
      <c r="F24" s="23" t="n">
        <f aca="false">SUM(F6:F23)</f>
        <v>2082000</v>
      </c>
      <c r="G24" s="23" t="n">
        <f aca="false">SUM(G6:G23)</f>
        <v>7862000</v>
      </c>
      <c r="H24" s="24" t="n">
        <f aca="false">IF(D24&gt;0,G24/D24,0)</f>
        <v>6685.37414965986</v>
      </c>
      <c r="I24" s="21"/>
      <c r="J24" s="21"/>
      <c r="K24" s="21"/>
      <c r="L24" s="21"/>
      <c r="M24" s="21"/>
      <c r="N24" s="21"/>
      <c r="O24" s="21"/>
      <c r="P24" s="21"/>
      <c r="Q24" s="21" t="str">
        <f aca="false">SUMPRODUCT((Q6:Q23&lt;&gt;"OK")*(A6:A23&lt;&gt;""))&amp;" lot(s) à examiner"</f>
        <v>1 lot(s) à examiner</v>
      </c>
    </row>
  </sheetData>
  <conditionalFormatting sqref="Q6:Q23">
    <cfRule type="expression" priority="2" aboveAverage="0" equalAverage="0" bottom="0" percent="0" rank="0" text="" dxfId="0">
      <formula>Q6&lt;&gt;"OK"</formula>
    </cfRule>
  </conditionalFormatting>
  <dataValidations count="1">
    <dataValidation allowBlank="true" errorStyle="stop" operator="between" showDropDown="false" showErrorMessage="false" showInputMessage="false" sqref="I6:I23" type="list">
      <formula1>Paramètres!$A$14:$A$18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20"/>
    <col collapsed="false" customWidth="true" hidden="false" outlineLevel="0" max="6" min="6" style="0" width="56"/>
  </cols>
  <sheetData>
    <row r="1" customFormat="false" ht="24" hidden="false" customHeight="tru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15" hidden="false" customHeight="false" outlineLevel="0" collapsed="false">
      <c r="A4" s="11" t="s">
        <v>97</v>
      </c>
      <c r="B4" s="12"/>
      <c r="C4" s="12"/>
      <c r="D4" s="12"/>
      <c r="E4" s="12"/>
    </row>
    <row r="5" customFormat="false" ht="15" hidden="false" customHeight="false" outlineLevel="0" collapsed="false">
      <c r="A5" s="5" t="s">
        <v>98</v>
      </c>
      <c r="B5" s="19" t="n">
        <f aca="false">COUNTA(Grille!$A$6:$A$23)</f>
        <v>18</v>
      </c>
    </row>
    <row r="6" customFormat="false" ht="15" hidden="false" customHeight="false" outlineLevel="0" collapsed="false">
      <c r="A6" s="5" t="s">
        <v>99</v>
      </c>
      <c r="B6" s="25" t="n">
        <f aca="false">SUM(Grille!$D$6:$D$23)</f>
        <v>1176</v>
      </c>
    </row>
    <row r="7" customFormat="false" ht="15" hidden="false" customHeight="false" outlineLevel="0" collapsed="false">
      <c r="A7" s="5" t="s">
        <v>100</v>
      </c>
      <c r="B7" s="26" t="n">
        <f aca="false">SUM(Grille!$G$6:$G$23)</f>
        <v>7862000</v>
      </c>
    </row>
    <row r="8" customFormat="false" ht="15" hidden="false" customHeight="false" outlineLevel="0" collapsed="false">
      <c r="A8" s="5" t="s">
        <v>101</v>
      </c>
      <c r="B8" s="17" t="n">
        <f aca="false">IF(B6&gt;0,B7/B6,0)</f>
        <v>6685.37414965986</v>
      </c>
    </row>
    <row r="10" customFormat="false" ht="15" hidden="false" customHeight="false" outlineLevel="0" collapsed="false">
      <c r="A10" s="11" t="s">
        <v>102</v>
      </c>
      <c r="B10" s="12"/>
      <c r="C10" s="12"/>
      <c r="D10" s="12"/>
      <c r="E10" s="12"/>
    </row>
    <row r="11" customFormat="false" ht="31.5" hidden="false" customHeight="true" outlineLevel="0" collapsed="false">
      <c r="A11" s="3" t="s">
        <v>19</v>
      </c>
      <c r="B11" s="4" t="s">
        <v>98</v>
      </c>
      <c r="C11" s="4" t="s">
        <v>39</v>
      </c>
      <c r="D11" s="4" t="s">
        <v>103</v>
      </c>
      <c r="E11" s="4" t="s">
        <v>104</v>
      </c>
    </row>
    <row r="12" customFormat="false" ht="15" hidden="false" customHeight="false" outlineLevel="0" collapsed="false">
      <c r="A12" s="5" t="str">
        <f aca="false">Paramètres!A14</f>
        <v>Disponible</v>
      </c>
      <c r="B12" s="19" t="n">
        <f aca="false">COUNTIF(Grille!$I$6:$I$23,A12)</f>
        <v>4</v>
      </c>
      <c r="C12" s="25" t="n">
        <f aca="false">SUMIF(Grille!$I$6:$I$23,A12,Grille!$D$6:$D$23)</f>
        <v>318</v>
      </c>
      <c r="D12" s="16" t="n">
        <f aca="false">SUMIF(Grille!$I$6:$I$23,A12,Grille!$G$6:$G$23)</f>
        <v>2178000</v>
      </c>
      <c r="E12" s="27" t="n">
        <f aca="false">IF($B$7&gt;0,D12/$B$7,0)</f>
        <v>0.277028745866192</v>
      </c>
    </row>
    <row r="13" customFormat="false" ht="15" hidden="false" customHeight="false" outlineLevel="0" collapsed="false">
      <c r="A13" s="5" t="str">
        <f aca="false">Paramètres!A15</f>
        <v>Optionné</v>
      </c>
      <c r="B13" s="19" t="n">
        <f aca="false">COUNTIF(Grille!$I$6:$I$23,A13)</f>
        <v>2</v>
      </c>
      <c r="C13" s="25" t="n">
        <f aca="false">SUMIF(Grille!$I$6:$I$23,A13,Grille!$D$6:$D$23)</f>
        <v>153</v>
      </c>
      <c r="D13" s="16" t="n">
        <f aca="false">SUMIF(Grille!$I$6:$I$23,A13,Grille!$G$6:$G$23)</f>
        <v>1104000</v>
      </c>
      <c r="E13" s="27" t="n">
        <f aca="false">IF($B$7&gt;0,D13/$B$7,0)</f>
        <v>0.140422284406004</v>
      </c>
    </row>
    <row r="14" customFormat="false" ht="15" hidden="false" customHeight="false" outlineLevel="0" collapsed="false">
      <c r="A14" s="5" t="str">
        <f aca="false">Paramètres!A16</f>
        <v>Réservé</v>
      </c>
      <c r="B14" s="19" t="n">
        <f aca="false">COUNTIF(Grille!$I$6:$I$23,A14)</f>
        <v>5</v>
      </c>
      <c r="C14" s="25" t="n">
        <f aca="false">SUMIF(Grille!$I$6:$I$23,A14,Grille!$D$6:$D$23)</f>
        <v>332</v>
      </c>
      <c r="D14" s="16" t="n">
        <f aca="false">SUMIF(Grille!$I$6:$I$23,A14,Grille!$G$6:$G$23)</f>
        <v>2202000</v>
      </c>
      <c r="E14" s="27" t="n">
        <f aca="false">IF($B$7&gt;0,D14/$B$7,0)</f>
        <v>0.280081404222844</v>
      </c>
    </row>
    <row r="15" customFormat="false" ht="15" hidden="false" customHeight="false" outlineLevel="0" collapsed="false">
      <c r="A15" s="5" t="str">
        <f aca="false">Paramètres!A17</f>
        <v>Acte signé</v>
      </c>
      <c r="B15" s="19" t="n">
        <f aca="false">COUNTIF(Grille!$I$6:$I$23,A15)</f>
        <v>6</v>
      </c>
      <c r="C15" s="25" t="n">
        <f aca="false">SUMIF(Grille!$I$6:$I$23,A15,Grille!$D$6:$D$23)</f>
        <v>329</v>
      </c>
      <c r="D15" s="16" t="n">
        <f aca="false">SUMIF(Grille!$I$6:$I$23,A15,Grille!$G$6:$G$23)</f>
        <v>2082000</v>
      </c>
      <c r="E15" s="27" t="n">
        <f aca="false">IF($B$7&gt;0,D15/$B$7,0)</f>
        <v>0.264818112439583</v>
      </c>
    </row>
    <row r="16" customFormat="false" ht="15" hidden="false" customHeight="false" outlineLevel="0" collapsed="false">
      <c r="A16" s="5" t="str">
        <f aca="false">Paramètres!A18</f>
        <v>Désisté</v>
      </c>
      <c r="B16" s="19" t="n">
        <f aca="false">COUNTIF(Grille!$I$6:$I$23,A16)</f>
        <v>1</v>
      </c>
      <c r="C16" s="25" t="n">
        <f aca="false">SUMIF(Grille!$I$6:$I$23,A16,Grille!$D$6:$D$23)</f>
        <v>44</v>
      </c>
      <c r="D16" s="16" t="n">
        <f aca="false">SUMIF(Grille!$I$6:$I$23,A16,Grille!$G$6:$G$23)</f>
        <v>296000</v>
      </c>
      <c r="E16" s="27" t="n">
        <f aca="false">IF($B$7&gt;0,D16/$B$7,0)</f>
        <v>0.0376494530653778</v>
      </c>
    </row>
    <row r="17" customFormat="false" ht="15" hidden="false" customHeight="false" outlineLevel="0" collapsed="false">
      <c r="A17" s="21" t="s">
        <v>105</v>
      </c>
      <c r="B17" s="28" t="n">
        <f aca="false">SUM(B12:B16)</f>
        <v>18</v>
      </c>
      <c r="C17" s="22" t="n">
        <f aca="false">SUM(C12:C16)</f>
        <v>1176</v>
      </c>
      <c r="D17" s="23" t="n">
        <f aca="false">SUM(D12:D16)</f>
        <v>7862000</v>
      </c>
      <c r="E17" s="29" t="n">
        <f aca="false">SUM(E12:E16)</f>
        <v>1</v>
      </c>
    </row>
    <row r="19" customFormat="false" ht="15" hidden="false" customHeight="false" outlineLevel="0" collapsed="false">
      <c r="A19" s="11" t="s">
        <v>106</v>
      </c>
      <c r="B19" s="12"/>
      <c r="C19" s="12"/>
      <c r="D19" s="12"/>
      <c r="E19" s="12"/>
    </row>
    <row r="20" customFormat="false" ht="15" hidden="false" customHeight="false" outlineLevel="0" collapsed="false">
      <c r="A20" s="5" t="s">
        <v>107</v>
      </c>
      <c r="B20" s="19" t="n">
        <f aca="false">COUNTIF(Grille!$M$6:$M$23,"Oui")</f>
        <v>11</v>
      </c>
    </row>
    <row r="21" customFormat="false" ht="15" hidden="false" customHeight="false" outlineLevel="0" collapsed="false">
      <c r="A21" s="5" t="s">
        <v>108</v>
      </c>
      <c r="B21" s="16" t="n">
        <f aca="false">SUMIF(Grille!$M$6:$M$23,"Oui",Grille!$G$6:$G$23)</f>
        <v>4284000</v>
      </c>
    </row>
    <row r="22" customFormat="false" ht="15" hidden="false" customHeight="false" outlineLevel="0" collapsed="false">
      <c r="A22" s="5" t="s">
        <v>109</v>
      </c>
      <c r="B22" s="25" t="n">
        <f aca="false">SUMIF(Grille!$M$6:$M$23,"Oui",Grille!$D$6:$D$23)</f>
        <v>661</v>
      </c>
    </row>
    <row r="23" customFormat="false" ht="15" hidden="false" customHeight="false" outlineLevel="0" collapsed="false">
      <c r="A23" s="5" t="s">
        <v>110</v>
      </c>
      <c r="B23" s="30" t="n">
        <f aca="false">IF(B5&gt;0,B20/B5,0)</f>
        <v>0.611111111111111</v>
      </c>
    </row>
    <row r="24" customFormat="false" ht="15" hidden="false" customHeight="false" outlineLevel="0" collapsed="false">
      <c r="A24" s="5" t="s">
        <v>111</v>
      </c>
      <c r="B24" s="30" t="n">
        <f aca="false">IF(B7&gt;0,B21/B7,0)</f>
        <v>0.544899516662427</v>
      </c>
    </row>
    <row r="25" customFormat="false" ht="15" hidden="false" customHeight="false" outlineLevel="0" collapsed="false">
      <c r="A25" s="5" t="s">
        <v>112</v>
      </c>
      <c r="B25" s="27" t="n">
        <f aca="false">SEUIL</f>
        <v>0.55</v>
      </c>
    </row>
    <row r="26" customFormat="false" ht="15" hidden="false" customHeight="false" outlineLevel="0" collapsed="false">
      <c r="A26" s="5" t="s">
        <v>13</v>
      </c>
      <c r="B26" s="18" t="str">
        <f aca="false">BASE_SEUIL</f>
        <v>Chiffre d'affaires</v>
      </c>
    </row>
    <row r="27" customFormat="false" ht="15" hidden="false" customHeight="false" outlineLevel="0" collapsed="false">
      <c r="A27" s="5" t="s">
        <v>113</v>
      </c>
      <c r="B27" s="27" t="n">
        <f aca="false">IF(BASE_SEUIL="Nombre de lots",B23,B24)</f>
        <v>0.544899516662427</v>
      </c>
    </row>
    <row r="28" customFormat="false" ht="15" hidden="false" customHeight="false" outlineLevel="0" collapsed="false">
      <c r="A28" s="5" t="s">
        <v>114</v>
      </c>
      <c r="B28" s="31" t="str">
        <f aca="false">IF(B27&gt;=B25,"Oui","Non")</f>
        <v>Non</v>
      </c>
    </row>
    <row r="29" customFormat="false" ht="15" hidden="false" customHeight="false" outlineLevel="0" collapsed="false">
      <c r="A29" s="5" t="s">
        <v>115</v>
      </c>
      <c r="B29" s="16" t="n">
        <f aca="false">IF(BASE_SEUIL="Nombre de lots",0,MAX(0,B25*B7-B21))</f>
        <v>40100</v>
      </c>
    </row>
    <row r="30" customFormat="false" ht="15" hidden="false" customHeight="false" outlineLevel="0" collapsed="false">
      <c r="A30" s="5" t="s">
        <v>116</v>
      </c>
      <c r="B30" s="19" t="str">
        <f aca="false">IF(BASE_SEUIL="Nombre de lots",MAX(0,ROUNDUP(B25*B5-B20,0)),"")</f>
        <v/>
      </c>
    </row>
    <row r="32" customFormat="false" ht="15" hidden="false" customHeight="false" outlineLevel="0" collapsed="false">
      <c r="A32" s="11" t="s">
        <v>117</v>
      </c>
      <c r="B32" s="12"/>
      <c r="C32" s="12"/>
      <c r="D32" s="12"/>
      <c r="E32" s="12"/>
    </row>
    <row r="33" customFormat="false" ht="15" hidden="false" customHeight="false" outlineLevel="0" collapsed="false">
      <c r="A33" s="5" t="s">
        <v>118</v>
      </c>
      <c r="B33" s="17" t="n">
        <f aca="false">IF(B22&gt;0,B21/B22,0)</f>
        <v>6481.08925869894</v>
      </c>
    </row>
    <row r="34" customFormat="false" ht="15" hidden="false" customHeight="false" outlineLevel="0" collapsed="false">
      <c r="A34" s="5" t="s">
        <v>119</v>
      </c>
      <c r="B34" s="17" t="n">
        <f aca="false">IF(B6-B22&gt;0,(B7-B21)/(B6-B22),0)</f>
        <v>6947.57281553398</v>
      </c>
    </row>
    <row r="35" customFormat="false" ht="15" hidden="false" customHeight="false" outlineLevel="0" collapsed="false">
      <c r="A35" s="5" t="s">
        <v>120</v>
      </c>
      <c r="B35" s="32" t="n">
        <f aca="false">B7-B21</f>
        <v>3578000</v>
      </c>
    </row>
    <row r="36" customFormat="false" ht="15" hidden="false" customHeight="false" outlineLevel="0" collapsed="false">
      <c r="A36" s="5" t="s">
        <v>121</v>
      </c>
      <c r="B36" s="27" t="n">
        <f aca="false">IF(B7&gt;0,B35/B7,0)</f>
        <v>0.455100483337573</v>
      </c>
    </row>
    <row r="37" customFormat="false" ht="15" hidden="false" customHeight="false" outlineLevel="0" collapsed="false">
      <c r="A37" s="5" t="s">
        <v>122</v>
      </c>
      <c r="B37" s="16" t="n">
        <f aca="false">SUMIF(Grille!$F$6:$F$23,"&gt;0",Grille!$F$6:$F$23)-SUMIF(Grille!$F$6:$F$23,"&gt;0",Grille!$E$6:$E$23)</f>
        <v>-13000</v>
      </c>
    </row>
    <row r="38" customFormat="false" ht="15" hidden="false" customHeight="false" outlineLevel="0" collapsed="false">
      <c r="A38" s="5" t="s">
        <v>123</v>
      </c>
      <c r="B38" s="20" t="n">
        <f aca="false">IF(SUMIF(Grille!$F$6:$F$23,"&gt;0",Grille!$E$6:$E$23)&gt;0,B37/SUMIF(Grille!$F$6:$F$23,"&gt;0",Grille!$E$6:$E$23),0)</f>
        <v>-0.00620525059665871</v>
      </c>
    </row>
    <row r="39" customFormat="false" ht="15" hidden="false" customHeight="false" outlineLevel="0" collapsed="false">
      <c r="A39" s="5" t="s">
        <v>124</v>
      </c>
      <c r="B39" s="19" t="n">
        <f aca="false">IFERROR(AVERAGE(Grille!$O$6:$O$23),0)</f>
        <v>111.5</v>
      </c>
    </row>
    <row r="40" customFormat="false" ht="15" hidden="false" customHeight="false" outlineLevel="0" collapsed="false">
      <c r="A40" s="5" t="s">
        <v>125</v>
      </c>
      <c r="B40" s="18" t="str">
        <f aca="false">Grille!Q24</f>
        <v>1 lot(s) à examiner</v>
      </c>
    </row>
    <row r="42" customFormat="false" ht="15" hidden="false" customHeight="false" outlineLevel="0" collapsed="false">
      <c r="A42" s="11" t="s">
        <v>126</v>
      </c>
      <c r="B42" s="12"/>
      <c r="C42" s="12"/>
      <c r="D42" s="12"/>
      <c r="E42" s="12"/>
    </row>
    <row r="43" customFormat="false" ht="15" hidden="false" customHeight="false" outlineLevel="0" collapsed="false">
      <c r="A43" s="5" t="s">
        <v>127</v>
      </c>
      <c r="B43" s="18" t="str">
        <f aca="false">IF(AND(ABS(D17-B7)&lt;0.01,B17=B5),"Conforme","Écart : un statut manque dans les paramètres")</f>
        <v>Conforme</v>
      </c>
    </row>
    <row r="45" customFormat="false" ht="15" hidden="false" customHeight="false" outlineLevel="0" collapsed="false">
      <c r="A45" s="2" t="s">
        <v>128</v>
      </c>
    </row>
    <row r="46" customFormat="false" ht="15" hidden="false" customHeight="false" outlineLevel="0" collapsed="false">
      <c r="A46" s="2" t="s">
        <v>129</v>
      </c>
    </row>
    <row r="47" customFormat="false" ht="15" hidden="false" customHeight="false" outlineLevel="0" collapsed="false">
      <c r="A47" s="2" t="s">
        <v>130</v>
      </c>
    </row>
  </sheetData>
  <conditionalFormatting sqref="B28">
    <cfRule type="expression" priority="2" aboveAverage="0" equalAverage="0" bottom="0" percent="0" rank="0" text="" dxfId="0">
      <formula>B28="Non"</formula>
    </cfRule>
  </conditionalFormatting>
  <conditionalFormatting sqref="B43">
    <cfRule type="expression" priority="3" aboveAverage="0" equalAverage="0" bottom="0" percent="0" rank="0" text="" dxfId="0">
      <formula>B43&lt;&gt;"Conforme"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2026-10-15T08:02:50Z</dcterms:created>
  <dc:creator>CAP IMMO</dc:creator>
  <dc:description/>
  <dc:language>fr-FR</dc:language>
  <cp:lastModifiedBy/>
  <dcterms:modified xsi:type="dcterms:W3CDTF">2026-10-15T08:02:50Z</dcterms:modified>
  <cp:revision>0</cp:revision>
  <dc:subject>Lots, statuts, acquéreurs, dates et taux de pré-commercialisation — données d'exemple fictives</dc:subject>
  <dc:title>Modèle de grille de commercialisation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