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aramètres" sheetId="1" state="visible" r:id="rId3"/>
    <sheet name="Lots et appels" sheetId="2" state="visible" r:id="rId4"/>
    <sheet name="Synthèse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<sst xmlns="http://schemas.openxmlformats.org/spreadsheetml/2006/main" count="167" uniqueCount="114">
  <si>
    <t xml:space="preserve">Échéancier VEFA — paramètres</t>
  </si>
  <si>
    <t xml:space="preserve">Modèle gratuit CAP IMMO · données d'exemple fictives, à remplacer · cellules jaunes = saisie · montants en euros TTC</t>
  </si>
  <si>
    <t xml:space="preserve">Opération</t>
  </si>
  <si>
    <t xml:space="preserve">Résidence Les Tamaris</t>
  </si>
  <si>
    <t xml:space="preserve">Localisation</t>
  </si>
  <si>
    <t xml:space="preserve">Exemple fictif</t>
  </si>
  <si>
    <t xml:space="preserve">Jalons du chantier et échéanciers (cumuls)</t>
  </si>
  <si>
    <t xml:space="preserve">Jalon du chantier</t>
  </si>
  <si>
    <t xml:space="preserve">Plafond légal cumulé (R261-14)</t>
  </si>
  <si>
    <t xml:space="preserve">Échéancier au détail (cumul)</t>
  </si>
  <si>
    <t xml:space="preserve">Vente en bloc : échéancier contractuel (cumul)</t>
  </si>
  <si>
    <t xml:space="preserve">Jalon atteint ?</t>
  </si>
  <si>
    <t xml:space="preserve">Date (prévue ou réelle)</t>
  </si>
  <si>
    <t xml:space="preserve">Contrôle du détail</t>
  </si>
  <si>
    <t xml:space="preserve">Contrôle du bloc</t>
  </si>
  <si>
    <t xml:space="preserve">Contrôle de l'avancement</t>
  </si>
  <si>
    <t xml:space="preserve">Achèvement des fondations</t>
  </si>
  <si>
    <t xml:space="preserve">Oui</t>
  </si>
  <si>
    <t xml:space="preserve">Plancher haut du rez-de-chaussée</t>
  </si>
  <si>
    <t xml:space="preserve">Mise hors d'eau</t>
  </si>
  <si>
    <t xml:space="preserve">Cloisons et menuiseries extérieures</t>
  </si>
  <si>
    <t xml:space="preserve">Non</t>
  </si>
  <si>
    <t xml:space="preserve">Achèvement de l'immeuble</t>
  </si>
  <si>
    <t xml:space="preserve">Mise à disposition, remise des clés</t>
  </si>
  <si>
    <t xml:space="preserve">Échéanciers conformes aux plafonds ?</t>
  </si>
  <si>
    <t xml:space="preserve">Nombre de jalons atteints</t>
  </si>
  <si>
    <t xml:space="preserve">Dernier jalon atteint</t>
  </si>
  <si>
    <t xml:space="preserve">Les plafonds sont des totaux cumulés (art. R261-14 du CCH, logements) : 35 % à l'achèvement des fondations, 70 % à la mise hors d'eau, 95 % à l'achèvement, solde à la mise à disposition.</t>
  </si>
  <si>
    <t xml:space="preserve">Une étape intermédiaire ne dépasse pas le plafond de l'étape légale qui la suit. Chaque échéancier est un cumul : il ne décroît jamais et se termine à 100 %.</t>
  </si>
  <si>
    <t xml:space="preserve">La colonne « Vente en bloc » se remplit librement avec l'échéancier négocié dans l'acte ; en secteur protégé, il reste sous les plafonds, et le contrôle le signale sinon.</t>
  </si>
  <si>
    <t xml:space="preserve">Cochez « Oui » les jalons attestés par le maître d'œuvre, dans l'ordre. L'échéancier qui fait foi est celui de l'acte de vente, rédigé par le notaire.</t>
  </si>
  <si>
    <t xml:space="preserve">Lots et appels de fonds par jalon</t>
  </si>
  <si>
    <t xml:space="preserve">Cellules jaunes = saisie, le reste se calcule · un lot dont l'acte est signé paie d'un coup tous les jalons déjà atteints ; réservé ou disponible, il n'appelle rien (le dépôt de garantie n'est pas compté)</t>
  </si>
  <si>
    <t xml:space="preserve">Lot</t>
  </si>
  <si>
    <t xml:space="preserve">Typologie</t>
  </si>
  <si>
    <t xml:space="preserve">Étage</t>
  </si>
  <si>
    <t xml:space="preserve">Surface habitable</t>
  </si>
  <si>
    <t xml:space="preserve">Prix TTC</t>
  </si>
  <si>
    <t xml:space="preserve">Mode de vente</t>
  </si>
  <si>
    <t xml:space="preserve">Statut</t>
  </si>
  <si>
    <t xml:space="preserve">Date de l'acte</t>
  </si>
  <si>
    <t xml:space="preserve">Total appelé</t>
  </si>
  <si>
    <t xml:space="preserve">% appelé</t>
  </si>
  <si>
    <t xml:space="preserve">Reste à appeler</t>
  </si>
  <si>
    <t xml:space="preserve">A01</t>
  </si>
  <si>
    <t xml:space="preserve">T2</t>
  </si>
  <si>
    <t xml:space="preserve">RDC</t>
  </si>
  <si>
    <t xml:space="preserve">Détail</t>
  </si>
  <si>
    <t xml:space="preserve">Acte signé</t>
  </si>
  <si>
    <t xml:space="preserve">A02</t>
  </si>
  <si>
    <t xml:space="preserve">T3</t>
  </si>
  <si>
    <t xml:space="preserve">A03</t>
  </si>
  <si>
    <t xml:space="preserve">1er</t>
  </si>
  <si>
    <t xml:space="preserve">A04</t>
  </si>
  <si>
    <t xml:space="preserve">A05</t>
  </si>
  <si>
    <t xml:space="preserve">T4</t>
  </si>
  <si>
    <t xml:space="preserve">2e</t>
  </si>
  <si>
    <t xml:space="preserve">Réservé</t>
  </si>
  <si>
    <t xml:space="preserve">A06</t>
  </si>
  <si>
    <t xml:space="preserve">A07</t>
  </si>
  <si>
    <t xml:space="preserve">3e</t>
  </si>
  <si>
    <t xml:space="preserve">Disponible</t>
  </si>
  <si>
    <t xml:space="preserve">A08</t>
  </si>
  <si>
    <t xml:space="preserve">B01</t>
  </si>
  <si>
    <t xml:space="preserve">Bloc</t>
  </si>
  <si>
    <t xml:space="preserve">B02</t>
  </si>
  <si>
    <t xml:space="preserve">B03</t>
  </si>
  <si>
    <t xml:space="preserve">B04</t>
  </si>
  <si>
    <t xml:space="preserve">B05</t>
  </si>
  <si>
    <t xml:space="preserve">B06</t>
  </si>
  <si>
    <t xml:space="preserve">Total programme</t>
  </si>
  <si>
    <t xml:space="preserve">Lecture par jalon</t>
  </si>
  <si>
    <t xml:space="preserve">Dont lots au détail</t>
  </si>
  <si>
    <t xml:space="preserve">Dont vente en bloc</t>
  </si>
  <si>
    <t xml:space="preserve">Cumul appelé, programme</t>
  </si>
  <si>
    <t xml:space="preserve">Cumul appelé en % du chiffre d'affaires TTC</t>
  </si>
  <si>
    <t xml:space="preserve">Reste à appeler après le jalon</t>
  </si>
  <si>
    <t xml:space="preserve">Synthèse des appels de fonds</t>
  </si>
  <si>
    <t xml:space="preserve">Calculé à partir des autres onglets · aucune saisie</t>
  </si>
  <si>
    <t xml:space="preserve">Indicateur</t>
  </si>
  <si>
    <t xml:space="preserve">Valeur</t>
  </si>
  <si>
    <t xml:space="preserve">Précision</t>
  </si>
  <si>
    <t xml:space="preserve">Programme</t>
  </si>
  <si>
    <t xml:space="preserve">Chiffre d'affaires TTC</t>
  </si>
  <si>
    <t xml:space="preserve">Total de la grille de lots</t>
  </si>
  <si>
    <t xml:space="preserve">Dont lots actés</t>
  </si>
  <si>
    <t xml:space="preserve">Les seuls lots qui paient aujourd'hui</t>
  </si>
  <si>
    <t xml:space="preserve">Dont lots réservés</t>
  </si>
  <si>
    <t xml:space="preserve">Rien à appeler avant l'acte</t>
  </si>
  <si>
    <t xml:space="preserve">Dont lots disponibles</t>
  </si>
  <si>
    <t xml:space="preserve">Avancement</t>
  </si>
  <si>
    <t xml:space="preserve">Plafond légal cumulé à ce jalon</t>
  </si>
  <si>
    <t xml:space="preserve">Article R261-14 du CCH</t>
  </si>
  <si>
    <t xml:space="preserve">Appels de fonds</t>
  </si>
  <si>
    <t xml:space="preserve">Total appelé à ce jour</t>
  </si>
  <si>
    <t xml:space="preserve">Suit son propre échéancier contractuel</t>
  </si>
  <si>
    <t xml:space="preserve">Part du chiffre d'affaires TTC appelée</t>
  </si>
  <si>
    <t xml:space="preserve">Reste à appeler, programme</t>
  </si>
  <si>
    <t xml:space="preserve">Chiffre d'affaires TTC − total appelé</t>
  </si>
  <si>
    <t xml:space="preserve">Dont reste sur lots actés</t>
  </si>
  <si>
    <t xml:space="preserve">Jalons suivants du chantier</t>
  </si>
  <si>
    <t xml:space="preserve">Dont reste sur lots non actés</t>
  </si>
  <si>
    <t xml:space="preserve">Appelables à partir de l'acte</t>
  </si>
  <si>
    <t xml:space="preserve">Prochain jalon</t>
  </si>
  <si>
    <t xml:space="preserve">Prochain jalon à atteindre</t>
  </si>
  <si>
    <t xml:space="preserve">Date prévisionnelle</t>
  </si>
  <si>
    <t xml:space="preserve">Appel attendu sur les lots actés</t>
  </si>
  <si>
    <t xml:space="preserve">Si le jalon est atteint et attesté</t>
  </si>
  <si>
    <t xml:space="preserve">Contrôles</t>
  </si>
  <si>
    <t xml:space="preserve">Aucun lot au-dessus du plafond légal</t>
  </si>
  <si>
    <t xml:space="preserve">Part appelée de chaque lot, comparée au plafond du jalon</t>
  </si>
  <si>
    <t xml:space="preserve">Échéanciers conformes aux plafonds</t>
  </si>
  <si>
    <t xml:space="preserve">Détail et bloc, voir l'onglet Paramètres</t>
  </si>
  <si>
    <t xml:space="preserve">Total appelé = somme des jalons du tableau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</si>
</sst>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0\ %"/>
    <numFmt numFmtId="166" formatCode="dd/mm/yyyy"/>
    <numFmt numFmtId="167" formatCode="0"/>
    <numFmt numFmtId="168" formatCode="#,##0&quot; m²&quot;"/>
    <numFmt numFmtId="169" formatCode="#,##0&quot; €&quot;;\-#,##0&quot; €&quot;;\–"/>
    <numFmt numFmtId="170" formatCode="0.0\ %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A1228"/>
      <name val="Calibri"/>
      <family val="0"/>
      <charset val="1"/>
    </font>
    <font>
      <i val="true"/>
      <sz val="10"/>
      <color rgb="FF556078"/>
      <name val="Calibri"/>
      <family val="0"/>
      <charset val="1"/>
    </font>
    <font>
      <sz val="11"/>
      <name val="Calibri"/>
      <family val="0"/>
      <charset val="1"/>
    </font>
    <font>
      <sz val="11"/>
      <color rgb="FF1F4FBF"/>
      <name val="Calibri"/>
      <family val="0"/>
      <charset val="1"/>
    </font>
    <font>
      <b val="true"/>
      <sz val="11"/>
      <color rgb="FF0A1228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1"/>
      <name val="Calibri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8DC"/>
        <bgColor rgb="FFFFFFFF"/>
      </patternFill>
    </fill>
    <fill>
      <patternFill patternType="solid">
        <fgColor rgb="FFE8EDF8"/>
        <bgColor rgb="FFD9E2F5"/>
      </patternFill>
    </fill>
    <fill>
      <patternFill patternType="solid">
        <fgColor rgb="FF0A1228"/>
        <bgColor rgb="FF000000"/>
      </patternFill>
    </fill>
    <fill>
      <patternFill patternType="solid">
        <fgColor rgb="FFD9E2F5"/>
        <bgColor rgb="FFE8EDF8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9D0DE"/>
      </bottom>
      <diagonal/>
    </border>
    <border diagonalUp="false" diagonalDown="false">
      <left/>
      <right/>
      <top style="medium">
        <color rgb="FF0A1228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9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7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7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7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6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0" fontId="6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0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5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10" fillId="5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0" fillId="5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0" fontId="10" fillId="5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6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b val="1"/>
        <color rgb="FF9B1C1C"/>
      </font>
      <fill>
        <patternFill>
          <bgColor rgb="FFF8D7DA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8DC"/>
      <rgbColor rgb="FFE8EDF8"/>
      <rgbColor rgb="FF660066"/>
      <rgbColor rgb="FFFF8080"/>
      <rgbColor rgb="FF1F4FBF"/>
      <rgbColor rgb="FFC9D0D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9E2F5"/>
      <rgbColor rgb="FFCCFFCC"/>
      <rgbColor rgb="FFFFFF99"/>
      <rgbColor rgb="FF99CCFF"/>
      <rgbColor rgb="FFFF99CC"/>
      <rgbColor rgb="FFCC99FF"/>
      <rgbColor rgb="FFF8D7DA"/>
      <rgbColor rgb="FF3366FF"/>
      <rgbColor rgb="FF33CCCC"/>
      <rgbColor rgb="FF99CC00"/>
      <rgbColor rgb="FFFFCC00"/>
      <rgbColor rgb="FFFF9900"/>
      <rgbColor rgb="FFFF6600"/>
      <rgbColor rgb="FF556078"/>
      <rgbColor rgb="FF969696"/>
      <rgbColor rgb="FF003366"/>
      <rgbColor rgb="FF339966"/>
      <rgbColor rgb="FF0A1228"/>
      <rgbColor rgb="FF333300"/>
      <rgbColor rgb="FF9B1C1C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2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8" topLeftCell="A9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3" min="2" style="0" width="17"/>
    <col collapsed="false" customWidth="true" hidden="false" outlineLevel="0" max="4" min="4" style="0" width="22"/>
    <col collapsed="false" customWidth="true" hidden="false" outlineLevel="0" max="5" min="5" style="0" width="12"/>
    <col collapsed="false" customWidth="true" hidden="false" outlineLevel="0" max="6" min="6" style="0" width="16"/>
    <col collapsed="false" customWidth="true" hidden="false" outlineLevel="0" max="8" min="7" style="0" width="19"/>
    <col collapsed="false" customWidth="true" hidden="false" outlineLevel="0" max="9" min="9" style="0" width="24"/>
  </cols>
  <sheetData>
    <row r="1" customFormat="false" ht="24" hidden="false" customHeight="tru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 t="s">
        <v>3</v>
      </c>
    </row>
    <row r="5" customFormat="false" ht="15" hidden="false" customHeight="false" outlineLevel="0" collapsed="false">
      <c r="A5" s="3" t="s">
        <v>4</v>
      </c>
      <c r="B5" s="4" t="s">
        <v>5</v>
      </c>
    </row>
    <row r="7" customFormat="false" ht="15" hidden="false" customHeight="false" outlineLevel="0" collapsed="false">
      <c r="A7" s="5" t="s">
        <v>6</v>
      </c>
      <c r="B7" s="6"/>
      <c r="C7" s="6"/>
      <c r="D7" s="6"/>
      <c r="E7" s="6"/>
      <c r="F7" s="6"/>
      <c r="G7" s="6"/>
      <c r="H7" s="6"/>
      <c r="I7" s="6"/>
    </row>
    <row r="8" customFormat="false" ht="43.5" hidden="false" customHeight="true" outlineLevel="0" collapsed="false">
      <c r="A8" s="7" t="s">
        <v>7</v>
      </c>
      <c r="B8" s="8" t="s">
        <v>8</v>
      </c>
      <c r="C8" s="8" t="s">
        <v>9</v>
      </c>
      <c r="D8" s="8" t="s">
        <v>10</v>
      </c>
      <c r="E8" s="8" t="s">
        <v>11</v>
      </c>
      <c r="F8" s="8" t="s">
        <v>12</v>
      </c>
      <c r="G8" s="8" t="s">
        <v>13</v>
      </c>
      <c r="H8" s="8" t="s">
        <v>14</v>
      </c>
      <c r="I8" s="8" t="s">
        <v>15</v>
      </c>
    </row>
    <row r="9" customFormat="false" ht="15" hidden="false" customHeight="false" outlineLevel="0" collapsed="false">
      <c r="A9" s="9" t="s">
        <v>16</v>
      </c>
      <c r="B9" s="10" t="n">
        <v>0.35</v>
      </c>
      <c r="C9" s="10" t="n">
        <v>0.35</v>
      </c>
      <c r="D9" s="10" t="n">
        <v>0.3</v>
      </c>
      <c r="E9" s="11" t="s">
        <v>17</v>
      </c>
      <c r="F9" s="12" t="n">
        <v>46101</v>
      </c>
      <c r="G9" s="9" t="str">
        <f aca="false">IF(C9&gt;B9,"Dépasse le plafond",IF(C9&lt;0,"Cumul décroissant","Conforme"))</f>
        <v>Conforme</v>
      </c>
      <c r="H9" s="9" t="str">
        <f aca="false">IF(D9&gt;B9,"Dépasse le plafond",IF(D9&lt;0,"Cumul décroissant","Conforme"))</f>
        <v>Conforme</v>
      </c>
      <c r="I9" s="9" t="str">
        <f aca="false">"OK"</f>
        <v>OK</v>
      </c>
    </row>
    <row r="10" customFormat="false" ht="15" hidden="false" customHeight="false" outlineLevel="0" collapsed="false">
      <c r="A10" s="9" t="s">
        <v>18</v>
      </c>
      <c r="B10" s="10" t="n">
        <v>0.7</v>
      </c>
      <c r="C10" s="10" t="n">
        <v>0.45</v>
      </c>
      <c r="D10" s="10" t="n">
        <v>0.3</v>
      </c>
      <c r="E10" s="11" t="s">
        <v>17</v>
      </c>
      <c r="F10" s="12" t="n">
        <v>46171</v>
      </c>
      <c r="G10" s="9" t="str">
        <f aca="false">IF(C10&gt;B10,"Dépasse le plafond",IF(C10&lt;C9,"Cumul décroissant","Conforme"))</f>
        <v>Conforme</v>
      </c>
      <c r="H10" s="9" t="str">
        <f aca="false">IF(D10&gt;B10,"Dépasse le plafond",IF(D10&lt;D9,"Cumul décroissant","Conforme"))</f>
        <v>Conforme</v>
      </c>
      <c r="I10" s="9" t="str">
        <f aca="false">IF(AND(E10="Oui",E9&lt;&gt;"Oui"),"Jalon précédent non atteint","OK")</f>
        <v>OK</v>
      </c>
    </row>
    <row r="11" customFormat="false" ht="15" hidden="false" customHeight="false" outlineLevel="0" collapsed="false">
      <c r="A11" s="9" t="s">
        <v>19</v>
      </c>
      <c r="B11" s="10" t="n">
        <v>0.7</v>
      </c>
      <c r="C11" s="10" t="n">
        <v>0.7</v>
      </c>
      <c r="D11" s="10" t="n">
        <v>0.5</v>
      </c>
      <c r="E11" s="11" t="s">
        <v>17</v>
      </c>
      <c r="F11" s="12" t="n">
        <v>46283</v>
      </c>
      <c r="G11" s="9" t="str">
        <f aca="false">IF(C11&gt;B11,"Dépasse le plafond",IF(C11&lt;C10,"Cumul décroissant","Conforme"))</f>
        <v>Conforme</v>
      </c>
      <c r="H11" s="9" t="str">
        <f aca="false">IF(D11&gt;B11,"Dépasse le plafond",IF(D11&lt;D10,"Cumul décroissant","Conforme"))</f>
        <v>Conforme</v>
      </c>
      <c r="I11" s="9" t="str">
        <f aca="false">IF(AND(E11="Oui",E10&lt;&gt;"Oui"),"Jalon précédent non atteint","OK")</f>
        <v>OK</v>
      </c>
    </row>
    <row r="12" customFormat="false" ht="15" hidden="false" customHeight="false" outlineLevel="0" collapsed="false">
      <c r="A12" s="9" t="s">
        <v>20</v>
      </c>
      <c r="B12" s="10" t="n">
        <v>0.95</v>
      </c>
      <c r="C12" s="10" t="n">
        <v>0.8</v>
      </c>
      <c r="D12" s="10" t="n">
        <v>0.5</v>
      </c>
      <c r="E12" s="11" t="s">
        <v>21</v>
      </c>
      <c r="F12" s="12" t="n">
        <v>46367</v>
      </c>
      <c r="G12" s="9" t="str">
        <f aca="false">IF(C12&gt;B12,"Dépasse le plafond",IF(C12&lt;C11,"Cumul décroissant","Conforme"))</f>
        <v>Conforme</v>
      </c>
      <c r="H12" s="9" t="str">
        <f aca="false">IF(D12&gt;B12,"Dépasse le plafond",IF(D12&lt;D11,"Cumul décroissant","Conforme"))</f>
        <v>Conforme</v>
      </c>
      <c r="I12" s="9" t="str">
        <f aca="false">IF(AND(E12="Oui",E11&lt;&gt;"Oui"),"Jalon précédent non atteint","OK")</f>
        <v>OK</v>
      </c>
    </row>
    <row r="13" customFormat="false" ht="15" hidden="false" customHeight="false" outlineLevel="0" collapsed="false">
      <c r="A13" s="9" t="s">
        <v>22</v>
      </c>
      <c r="B13" s="10" t="n">
        <v>0.95</v>
      </c>
      <c r="C13" s="10" t="n">
        <v>0.95</v>
      </c>
      <c r="D13" s="10" t="n">
        <v>0.9</v>
      </c>
      <c r="E13" s="11" t="s">
        <v>21</v>
      </c>
      <c r="F13" s="12" t="n">
        <v>46451</v>
      </c>
      <c r="G13" s="9" t="str">
        <f aca="false">IF(C13&gt;B13,"Dépasse le plafond",IF(C13&lt;C12,"Cumul décroissant","Conforme"))</f>
        <v>Conforme</v>
      </c>
      <c r="H13" s="9" t="str">
        <f aca="false">IF(D13&gt;B13,"Dépasse le plafond",IF(D13&lt;D12,"Cumul décroissant","Conforme"))</f>
        <v>Conforme</v>
      </c>
      <c r="I13" s="9" t="str">
        <f aca="false">IF(AND(E13="Oui",E12&lt;&gt;"Oui"),"Jalon précédent non atteint","OK")</f>
        <v>OK</v>
      </c>
    </row>
    <row r="14" customFormat="false" ht="15" hidden="false" customHeight="false" outlineLevel="0" collapsed="false">
      <c r="A14" s="9" t="s">
        <v>23</v>
      </c>
      <c r="B14" s="10" t="n">
        <v>1</v>
      </c>
      <c r="C14" s="10" t="n">
        <v>1</v>
      </c>
      <c r="D14" s="10" t="n">
        <v>1</v>
      </c>
      <c r="E14" s="11" t="s">
        <v>21</v>
      </c>
      <c r="F14" s="12" t="n">
        <v>46521</v>
      </c>
      <c r="G14" s="9" t="str">
        <f aca="false">IF(C14&gt;B14,"Dépasse le plafond",IF(C14&lt;C13,"Cumul décroissant",IF(C14&lt;&gt;1,"Le solde doit atteindre 100 %","Conforme")))</f>
        <v>Conforme</v>
      </c>
      <c r="H14" s="9" t="str">
        <f aca="false">IF(D14&gt;B14,"Dépasse le plafond",IF(D14&lt;D13,"Cumul décroissant",IF(D14&lt;&gt;1,"Le solde doit atteindre 100 %","Conforme")))</f>
        <v>Conforme</v>
      </c>
      <c r="I14" s="9" t="str">
        <f aca="false">IF(AND(E14="Oui",E13&lt;&gt;"Oui"),"Jalon précédent non atteint","OK")</f>
        <v>OK</v>
      </c>
    </row>
    <row r="16" customFormat="false" ht="15" hidden="false" customHeight="false" outlineLevel="0" collapsed="false">
      <c r="A16" s="13" t="s">
        <v>24</v>
      </c>
      <c r="B16" s="14" t="str">
        <f aca="false">IF(AND(COUNTIF(G9:H14,"Conforme")=12,COUNTIF(I9:I14,"OK")=6),"Oui","Non : voir les contrôles")</f>
        <v>Oui</v>
      </c>
    </row>
    <row r="17" customFormat="false" ht="15" hidden="false" customHeight="false" outlineLevel="0" collapsed="false">
      <c r="A17" s="13" t="s">
        <v>25</v>
      </c>
      <c r="B17" s="15" t="n">
        <f aca="false">COUNTIF(E9:E14,"Oui")</f>
        <v>3</v>
      </c>
    </row>
    <row r="18" customFormat="false" ht="15" hidden="false" customHeight="false" outlineLevel="0" collapsed="false">
      <c r="A18" s="13" t="s">
        <v>26</v>
      </c>
      <c r="B18" s="14" t="str">
        <f aca="false">IF(B17=0,"Aucun",INDEX(A9:A14,B17))</f>
        <v>Mise hors d'eau</v>
      </c>
    </row>
    <row r="20" customFormat="false" ht="15" hidden="false" customHeight="false" outlineLevel="0" collapsed="false">
      <c r="A20" s="2" t="s">
        <v>27</v>
      </c>
    </row>
    <row r="21" customFormat="false" ht="15" hidden="false" customHeight="false" outlineLevel="0" collapsed="false">
      <c r="A21" s="2" t="s">
        <v>28</v>
      </c>
    </row>
    <row r="22" customFormat="false" ht="15" hidden="false" customHeight="false" outlineLevel="0" collapsed="false">
      <c r="A22" s="2" t="s">
        <v>29</v>
      </c>
    </row>
    <row r="23" customFormat="false" ht="15" hidden="false" customHeight="false" outlineLevel="0" collapsed="false">
      <c r="A23" s="2" t="s">
        <v>30</v>
      </c>
    </row>
  </sheetData>
  <conditionalFormatting sqref="G9:H14">
    <cfRule type="expression" priority="2" aboveAverage="0" equalAverage="0" bottom="0" percent="0" rank="0" text="" dxfId="0">
      <formula>G9&lt;&gt;"Conforme"</formula>
    </cfRule>
  </conditionalFormatting>
  <conditionalFormatting sqref="I9:I14">
    <cfRule type="expression" priority="3" aboveAverage="0" equalAverage="0" bottom="0" percent="0" rank="0" text="" dxfId="0">
      <formula>I9&lt;&gt;"OK"</formula>
    </cfRule>
  </conditionalFormatting>
  <conditionalFormatting sqref="B16">
    <cfRule type="expression" priority="4" aboveAverage="0" equalAverage="0" bottom="0" percent="0" rank="0" text="" dxfId="0">
      <formula>B16&lt;&gt;"Oui"</formula>
    </cfRule>
  </conditionalFormatting>
  <dataValidations count="1">
    <dataValidation allowBlank="true" errorStyle="stop" operator="between" showDropDown="false" showErrorMessage="false" showInputMessage="false" sqref="E9:E14" type="list">
      <formula1>"Oui,Non"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Q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1"/>
    <col collapsed="false" customWidth="true" hidden="false" outlineLevel="0" max="3" min="3" style="0" width="10"/>
    <col collapsed="false" customWidth="true" hidden="false" outlineLevel="0" max="4" min="4" style="0" width="11"/>
    <col collapsed="false" customWidth="true" hidden="false" outlineLevel="0" max="5" min="5" style="0" width="13"/>
    <col collapsed="false" customWidth="true" hidden="false" outlineLevel="0" max="6" min="6" style="0" width="11"/>
    <col collapsed="false" customWidth="true" hidden="false" outlineLevel="0" max="7" min="7" style="0" width="12"/>
    <col collapsed="false" customWidth="true" hidden="false" outlineLevel="0" max="8" min="8" style="0" width="13"/>
    <col collapsed="false" customWidth="true" hidden="false" outlineLevel="0" max="15" min="9" style="0" width="14"/>
    <col collapsed="false" customWidth="true" hidden="false" outlineLevel="0" max="16" min="16" style="0" width="9"/>
    <col collapsed="false" customWidth="true" hidden="false" outlineLevel="0" max="17" min="17" style="0" width="14"/>
  </cols>
  <sheetData>
    <row r="1" customFormat="false" ht="24" hidden="false" customHeight="true" outlineLevel="0" collapsed="false">
      <c r="A1" s="1" t="s">
        <v>31</v>
      </c>
    </row>
    <row r="2" customFormat="false" ht="15" hidden="false" customHeight="false" outlineLevel="0" collapsed="false">
      <c r="A2" s="2" t="s">
        <v>32</v>
      </c>
    </row>
    <row r="5" customFormat="false" ht="57.75" hidden="false" customHeight="true" outlineLevel="0" collapsed="false">
      <c r="A5" s="7" t="s">
        <v>33</v>
      </c>
      <c r="B5" s="8" t="s">
        <v>34</v>
      </c>
      <c r="C5" s="8" t="s">
        <v>35</v>
      </c>
      <c r="D5" s="8" t="s">
        <v>36</v>
      </c>
      <c r="E5" s="8" t="s">
        <v>37</v>
      </c>
      <c r="F5" s="8" t="s">
        <v>38</v>
      </c>
      <c r="G5" s="8" t="s">
        <v>39</v>
      </c>
      <c r="H5" s="8" t="s">
        <v>40</v>
      </c>
      <c r="I5" s="8" t="str">
        <f aca="false">Paramètres!A9</f>
        <v>Achèvement des fondations</v>
      </c>
      <c r="J5" s="8" t="str">
        <f aca="false">Paramètres!A10</f>
        <v>Plancher haut du rez-de-chaussée</v>
      </c>
      <c r="K5" s="8" t="str">
        <f aca="false">Paramètres!A11</f>
        <v>Mise hors d'eau</v>
      </c>
      <c r="L5" s="8" t="str">
        <f aca="false">Paramètres!A12</f>
        <v>Cloisons et menuiseries extérieures</v>
      </c>
      <c r="M5" s="8" t="str">
        <f aca="false">Paramètres!A13</f>
        <v>Achèvement de l'immeuble</v>
      </c>
      <c r="N5" s="8" t="str">
        <f aca="false">Paramètres!A14</f>
        <v>Mise à disposition, remise des clés</v>
      </c>
      <c r="O5" s="8" t="s">
        <v>41</v>
      </c>
      <c r="P5" s="8" t="s">
        <v>42</v>
      </c>
      <c r="Q5" s="8" t="s">
        <v>43</v>
      </c>
    </row>
    <row r="6" customFormat="false" ht="15" hidden="false" customHeight="false" outlineLevel="0" collapsed="false">
      <c r="A6" s="4" t="s">
        <v>44</v>
      </c>
      <c r="B6" s="4" t="s">
        <v>45</v>
      </c>
      <c r="C6" s="4" t="s">
        <v>46</v>
      </c>
      <c r="D6" s="16" t="n">
        <v>44</v>
      </c>
      <c r="E6" s="17" t="n">
        <v>285000</v>
      </c>
      <c r="F6" s="4" t="s">
        <v>47</v>
      </c>
      <c r="G6" s="4" t="s">
        <v>48</v>
      </c>
      <c r="H6" s="12" t="n">
        <v>46065</v>
      </c>
      <c r="I6" s="18" t="n">
        <f aca="false">IF(AND($G6="Acte signé",Paramètres!$E$9="Oui"),ROUND($E6*IF($F6="Bloc",Paramètres!$D$9,Paramètres!$C$9),2)-ROUND($E6*0,2),0)</f>
        <v>99750</v>
      </c>
      <c r="J6" s="18" t="n">
        <f aca="false">IF(AND($G6="Acte signé",Paramètres!$E$10="Oui"),ROUND($E6*IF($F6="Bloc",Paramètres!$D$10,Paramètres!$C$10),2)-ROUND($E6*IF($F6="Bloc",Paramètres!$D$9,Paramètres!$C$9),2),0)</f>
        <v>28500</v>
      </c>
      <c r="K6" s="18" t="n">
        <f aca="false">IF(AND($G6="Acte signé",Paramètres!$E$11="Oui"),ROUND($E6*IF($F6="Bloc",Paramètres!$D$11,Paramètres!$C$11),2)-ROUND($E6*IF($F6="Bloc",Paramètres!$D$10,Paramètres!$C$10),2),0)</f>
        <v>71250</v>
      </c>
      <c r="L6" s="18" t="n">
        <f aca="false">IF(AND($G6="Acte signé",Paramètres!$E$12="Oui"),ROUND($E6*IF($F6="Bloc",Paramètres!$D$12,Paramètres!$C$12),2)-ROUND($E6*IF($F6="Bloc",Paramètres!$D$11,Paramètres!$C$11),2),0)</f>
        <v>0</v>
      </c>
      <c r="M6" s="18" t="n">
        <f aca="false">IF(AND($G6="Acte signé",Paramètres!$E$13="Oui"),ROUND($E6*IF($F6="Bloc",Paramètres!$D$13,Paramètres!$C$13),2)-ROUND($E6*IF($F6="Bloc",Paramètres!$D$12,Paramètres!$C$12),2),0)</f>
        <v>0</v>
      </c>
      <c r="N6" s="18" t="n">
        <f aca="false">IF(AND($G6="Acte signé",Paramètres!$E$14="Oui"),ROUND($E6*IF($F6="Bloc",Paramètres!$D$14,Paramètres!$C$14),2)-ROUND($E6*IF($F6="Bloc",Paramètres!$D$13,Paramètres!$C$13),2),0)</f>
        <v>0</v>
      </c>
      <c r="O6" s="18" t="n">
        <f aca="false">SUM(I6:N6)</f>
        <v>199500</v>
      </c>
      <c r="P6" s="19" t="n">
        <f aca="false">IF(E6&gt;0,O6/E6,0)</f>
        <v>0.7</v>
      </c>
      <c r="Q6" s="18" t="n">
        <f aca="false">E6-O6</f>
        <v>85500</v>
      </c>
    </row>
    <row r="7" customFormat="false" ht="15" hidden="false" customHeight="false" outlineLevel="0" collapsed="false">
      <c r="A7" s="4" t="s">
        <v>49</v>
      </c>
      <c r="B7" s="4" t="s">
        <v>50</v>
      </c>
      <c r="C7" s="4" t="s">
        <v>46</v>
      </c>
      <c r="D7" s="16" t="n">
        <v>63</v>
      </c>
      <c r="E7" s="17" t="n">
        <v>392000</v>
      </c>
      <c r="F7" s="4" t="s">
        <v>47</v>
      </c>
      <c r="G7" s="4" t="s">
        <v>48</v>
      </c>
      <c r="H7" s="12" t="n">
        <v>46079</v>
      </c>
      <c r="I7" s="18" t="n">
        <f aca="false">IF(AND($G7="Acte signé",Paramètres!$E$9="Oui"),ROUND($E7*IF($F7="Bloc",Paramètres!$D$9,Paramètres!$C$9),2)-ROUND($E7*0,2),0)</f>
        <v>137200</v>
      </c>
      <c r="J7" s="18" t="n">
        <f aca="false">IF(AND($G7="Acte signé",Paramètres!$E$10="Oui"),ROUND($E7*IF($F7="Bloc",Paramètres!$D$10,Paramètres!$C$10),2)-ROUND($E7*IF($F7="Bloc",Paramètres!$D$9,Paramètres!$C$9),2),0)</f>
        <v>39200</v>
      </c>
      <c r="K7" s="18" t="n">
        <f aca="false">IF(AND($G7="Acte signé",Paramètres!$E$11="Oui"),ROUND($E7*IF($F7="Bloc",Paramètres!$D$11,Paramètres!$C$11),2)-ROUND($E7*IF($F7="Bloc",Paramètres!$D$10,Paramètres!$C$10),2),0)</f>
        <v>98000</v>
      </c>
      <c r="L7" s="18" t="n">
        <f aca="false">IF(AND($G7="Acte signé",Paramètres!$E$12="Oui"),ROUND($E7*IF($F7="Bloc",Paramètres!$D$12,Paramètres!$C$12),2)-ROUND($E7*IF($F7="Bloc",Paramètres!$D$11,Paramètres!$C$11),2),0)</f>
        <v>0</v>
      </c>
      <c r="M7" s="18" t="n">
        <f aca="false">IF(AND($G7="Acte signé",Paramètres!$E$13="Oui"),ROUND($E7*IF($F7="Bloc",Paramètres!$D$13,Paramètres!$C$13),2)-ROUND($E7*IF($F7="Bloc",Paramètres!$D$12,Paramètres!$C$12),2),0)</f>
        <v>0</v>
      </c>
      <c r="N7" s="18" t="n">
        <f aca="false">IF(AND($G7="Acte signé",Paramètres!$E$14="Oui"),ROUND($E7*IF($F7="Bloc",Paramètres!$D$14,Paramètres!$C$14),2)-ROUND($E7*IF($F7="Bloc",Paramètres!$D$13,Paramètres!$C$13),2),0)</f>
        <v>0</v>
      </c>
      <c r="O7" s="18" t="n">
        <f aca="false">SUM(I7:N7)</f>
        <v>274400</v>
      </c>
      <c r="P7" s="19" t="n">
        <f aca="false">IF(E7&gt;0,O7/E7,0)</f>
        <v>0.7</v>
      </c>
      <c r="Q7" s="18" t="n">
        <f aca="false">E7-O7</f>
        <v>117600</v>
      </c>
    </row>
    <row r="8" customFormat="false" ht="15" hidden="false" customHeight="false" outlineLevel="0" collapsed="false">
      <c r="A8" s="4" t="s">
        <v>51</v>
      </c>
      <c r="B8" s="4" t="s">
        <v>45</v>
      </c>
      <c r="C8" s="4" t="s">
        <v>52</v>
      </c>
      <c r="D8" s="16" t="n">
        <v>45</v>
      </c>
      <c r="E8" s="17" t="n">
        <v>301000</v>
      </c>
      <c r="F8" s="4" t="s">
        <v>47</v>
      </c>
      <c r="G8" s="4" t="s">
        <v>48</v>
      </c>
      <c r="H8" s="12" t="n">
        <v>46091</v>
      </c>
      <c r="I8" s="18" t="n">
        <f aca="false">IF(AND($G8="Acte signé",Paramètres!$E$9="Oui"),ROUND($E8*IF($F8="Bloc",Paramètres!$D$9,Paramètres!$C$9),2)-ROUND($E8*0,2),0)</f>
        <v>105350</v>
      </c>
      <c r="J8" s="18" t="n">
        <f aca="false">IF(AND($G8="Acte signé",Paramètres!$E$10="Oui"),ROUND($E8*IF($F8="Bloc",Paramètres!$D$10,Paramètres!$C$10),2)-ROUND($E8*IF($F8="Bloc",Paramètres!$D$9,Paramètres!$C$9),2),0)</f>
        <v>30100</v>
      </c>
      <c r="K8" s="18" t="n">
        <f aca="false">IF(AND($G8="Acte signé",Paramètres!$E$11="Oui"),ROUND($E8*IF($F8="Bloc",Paramètres!$D$11,Paramètres!$C$11),2)-ROUND($E8*IF($F8="Bloc",Paramètres!$D$10,Paramètres!$C$10),2),0)</f>
        <v>75250</v>
      </c>
      <c r="L8" s="18" t="n">
        <f aca="false">IF(AND($G8="Acte signé",Paramètres!$E$12="Oui"),ROUND($E8*IF($F8="Bloc",Paramètres!$D$12,Paramètres!$C$12),2)-ROUND($E8*IF($F8="Bloc",Paramètres!$D$11,Paramètres!$C$11),2),0)</f>
        <v>0</v>
      </c>
      <c r="M8" s="18" t="n">
        <f aca="false">IF(AND($G8="Acte signé",Paramètres!$E$13="Oui"),ROUND($E8*IF($F8="Bloc",Paramètres!$D$13,Paramètres!$C$13),2)-ROUND($E8*IF($F8="Bloc",Paramètres!$D$12,Paramètres!$C$12),2),0)</f>
        <v>0</v>
      </c>
      <c r="N8" s="18" t="n">
        <f aca="false">IF(AND($G8="Acte signé",Paramètres!$E$14="Oui"),ROUND($E8*IF($F8="Bloc",Paramètres!$D$14,Paramètres!$C$14),2)-ROUND($E8*IF($F8="Bloc",Paramètres!$D$13,Paramètres!$C$13),2),0)</f>
        <v>0</v>
      </c>
      <c r="O8" s="18" t="n">
        <f aca="false">SUM(I8:N8)</f>
        <v>210700</v>
      </c>
      <c r="P8" s="19" t="n">
        <f aca="false">IF(E8&gt;0,O8/E8,0)</f>
        <v>0.7</v>
      </c>
      <c r="Q8" s="18" t="n">
        <f aca="false">E8-O8</f>
        <v>90300</v>
      </c>
    </row>
    <row r="9" customFormat="false" ht="15" hidden="false" customHeight="false" outlineLevel="0" collapsed="false">
      <c r="A9" s="4" t="s">
        <v>53</v>
      </c>
      <c r="B9" s="4" t="s">
        <v>50</v>
      </c>
      <c r="C9" s="4" t="s">
        <v>52</v>
      </c>
      <c r="D9" s="16" t="n">
        <v>64</v>
      </c>
      <c r="E9" s="17" t="n">
        <v>415000</v>
      </c>
      <c r="F9" s="4" t="s">
        <v>47</v>
      </c>
      <c r="G9" s="4" t="s">
        <v>48</v>
      </c>
      <c r="H9" s="12" t="n">
        <v>46126</v>
      </c>
      <c r="I9" s="18" t="n">
        <f aca="false">IF(AND($G9="Acte signé",Paramètres!$E$9="Oui"),ROUND($E9*IF($F9="Bloc",Paramètres!$D$9,Paramètres!$C$9),2)-ROUND($E9*0,2),0)</f>
        <v>145250</v>
      </c>
      <c r="J9" s="18" t="n">
        <f aca="false">IF(AND($G9="Acte signé",Paramètres!$E$10="Oui"),ROUND($E9*IF($F9="Bloc",Paramètres!$D$10,Paramètres!$C$10),2)-ROUND($E9*IF($F9="Bloc",Paramètres!$D$9,Paramètres!$C$9),2),0)</f>
        <v>41500</v>
      </c>
      <c r="K9" s="18" t="n">
        <f aca="false">IF(AND($G9="Acte signé",Paramètres!$E$11="Oui"),ROUND($E9*IF($F9="Bloc",Paramètres!$D$11,Paramètres!$C$11),2)-ROUND($E9*IF($F9="Bloc",Paramètres!$D$10,Paramètres!$C$10),2),0)</f>
        <v>103750</v>
      </c>
      <c r="L9" s="18" t="n">
        <f aca="false">IF(AND($G9="Acte signé",Paramètres!$E$12="Oui"),ROUND($E9*IF($F9="Bloc",Paramètres!$D$12,Paramètres!$C$12),2)-ROUND($E9*IF($F9="Bloc",Paramètres!$D$11,Paramètres!$C$11),2),0)</f>
        <v>0</v>
      </c>
      <c r="M9" s="18" t="n">
        <f aca="false">IF(AND($G9="Acte signé",Paramètres!$E$13="Oui"),ROUND($E9*IF($F9="Bloc",Paramètres!$D$13,Paramètres!$C$13),2)-ROUND($E9*IF($F9="Bloc",Paramètres!$D$12,Paramètres!$C$12),2),0)</f>
        <v>0</v>
      </c>
      <c r="N9" s="18" t="n">
        <f aca="false">IF(AND($G9="Acte signé",Paramètres!$E$14="Oui"),ROUND($E9*IF($F9="Bloc",Paramètres!$D$14,Paramètres!$C$14),2)-ROUND($E9*IF($F9="Bloc",Paramètres!$D$13,Paramètres!$C$13),2),0)</f>
        <v>0</v>
      </c>
      <c r="O9" s="18" t="n">
        <f aca="false">SUM(I9:N9)</f>
        <v>290500</v>
      </c>
      <c r="P9" s="19" t="n">
        <f aca="false">IF(E9&gt;0,O9/E9,0)</f>
        <v>0.7</v>
      </c>
      <c r="Q9" s="18" t="n">
        <f aca="false">E9-O9</f>
        <v>124500</v>
      </c>
    </row>
    <row r="10" customFormat="false" ht="15" hidden="false" customHeight="false" outlineLevel="0" collapsed="false">
      <c r="A10" s="4" t="s">
        <v>54</v>
      </c>
      <c r="B10" s="4" t="s">
        <v>55</v>
      </c>
      <c r="C10" s="4" t="s">
        <v>56</v>
      </c>
      <c r="D10" s="16" t="n">
        <v>82</v>
      </c>
      <c r="E10" s="17" t="n">
        <v>548000</v>
      </c>
      <c r="F10" s="4" t="s">
        <v>47</v>
      </c>
      <c r="G10" s="4" t="s">
        <v>57</v>
      </c>
      <c r="H10" s="12"/>
      <c r="I10" s="18" t="n">
        <f aca="false">IF(AND($G10="Acte signé",Paramètres!$E$9="Oui"),ROUND($E10*IF($F10="Bloc",Paramètres!$D$9,Paramètres!$C$9),2)-ROUND($E10*0,2),0)</f>
        <v>0</v>
      </c>
      <c r="J10" s="18" t="n">
        <f aca="false">IF(AND($G10="Acte signé",Paramètres!$E$10="Oui"),ROUND($E10*IF($F10="Bloc",Paramètres!$D$10,Paramètres!$C$10),2)-ROUND($E10*IF($F10="Bloc",Paramètres!$D$9,Paramètres!$C$9),2),0)</f>
        <v>0</v>
      </c>
      <c r="K10" s="18" t="n">
        <f aca="false">IF(AND($G10="Acte signé",Paramètres!$E$11="Oui"),ROUND($E10*IF($F10="Bloc",Paramètres!$D$11,Paramètres!$C$11),2)-ROUND($E10*IF($F10="Bloc",Paramètres!$D$10,Paramètres!$C$10),2),0)</f>
        <v>0</v>
      </c>
      <c r="L10" s="18" t="n">
        <f aca="false">IF(AND($G10="Acte signé",Paramètres!$E$12="Oui"),ROUND($E10*IF($F10="Bloc",Paramètres!$D$12,Paramètres!$C$12),2)-ROUND($E10*IF($F10="Bloc",Paramètres!$D$11,Paramètres!$C$11),2),0)</f>
        <v>0</v>
      </c>
      <c r="M10" s="18" t="n">
        <f aca="false">IF(AND($G10="Acte signé",Paramètres!$E$13="Oui"),ROUND($E10*IF($F10="Bloc",Paramètres!$D$13,Paramètres!$C$13),2)-ROUND($E10*IF($F10="Bloc",Paramètres!$D$12,Paramètres!$C$12),2),0)</f>
        <v>0</v>
      </c>
      <c r="N10" s="18" t="n">
        <f aca="false">IF(AND($G10="Acte signé",Paramètres!$E$14="Oui"),ROUND($E10*IF($F10="Bloc",Paramètres!$D$14,Paramètres!$C$14),2)-ROUND($E10*IF($F10="Bloc",Paramètres!$D$13,Paramètres!$C$13),2),0)</f>
        <v>0</v>
      </c>
      <c r="O10" s="18" t="n">
        <f aca="false">SUM(I10:N10)</f>
        <v>0</v>
      </c>
      <c r="P10" s="19" t="n">
        <f aca="false">IF(E10&gt;0,O10/E10,0)</f>
        <v>0</v>
      </c>
      <c r="Q10" s="18" t="n">
        <f aca="false">E10-O10</f>
        <v>548000</v>
      </c>
    </row>
    <row r="11" customFormat="false" ht="15" hidden="false" customHeight="false" outlineLevel="0" collapsed="false">
      <c r="A11" s="4" t="s">
        <v>58</v>
      </c>
      <c r="B11" s="4" t="s">
        <v>50</v>
      </c>
      <c r="C11" s="4" t="s">
        <v>56</v>
      </c>
      <c r="D11" s="16" t="n">
        <v>65</v>
      </c>
      <c r="E11" s="17" t="n">
        <v>428000</v>
      </c>
      <c r="F11" s="4" t="s">
        <v>47</v>
      </c>
      <c r="G11" s="4" t="s">
        <v>48</v>
      </c>
      <c r="H11" s="12" t="n">
        <v>46191</v>
      </c>
      <c r="I11" s="18" t="n">
        <f aca="false">IF(AND($G11="Acte signé",Paramètres!$E$9="Oui"),ROUND($E11*IF($F11="Bloc",Paramètres!$D$9,Paramètres!$C$9),2)-ROUND($E11*0,2),0)</f>
        <v>149800</v>
      </c>
      <c r="J11" s="18" t="n">
        <f aca="false">IF(AND($G11="Acte signé",Paramètres!$E$10="Oui"),ROUND($E11*IF($F11="Bloc",Paramètres!$D$10,Paramètres!$C$10),2)-ROUND($E11*IF($F11="Bloc",Paramètres!$D$9,Paramètres!$C$9),2),0)</f>
        <v>42800</v>
      </c>
      <c r="K11" s="18" t="n">
        <f aca="false">IF(AND($G11="Acte signé",Paramètres!$E$11="Oui"),ROUND($E11*IF($F11="Bloc",Paramètres!$D$11,Paramètres!$C$11),2)-ROUND($E11*IF($F11="Bloc",Paramètres!$D$10,Paramètres!$C$10),2),0)</f>
        <v>107000</v>
      </c>
      <c r="L11" s="18" t="n">
        <f aca="false">IF(AND($G11="Acte signé",Paramètres!$E$12="Oui"),ROUND($E11*IF($F11="Bloc",Paramètres!$D$12,Paramètres!$C$12),2)-ROUND($E11*IF($F11="Bloc",Paramètres!$D$11,Paramètres!$C$11),2),0)</f>
        <v>0</v>
      </c>
      <c r="M11" s="18" t="n">
        <f aca="false">IF(AND($G11="Acte signé",Paramètres!$E$13="Oui"),ROUND($E11*IF($F11="Bloc",Paramètres!$D$13,Paramètres!$C$13),2)-ROUND($E11*IF($F11="Bloc",Paramètres!$D$12,Paramètres!$C$12),2),0)</f>
        <v>0</v>
      </c>
      <c r="N11" s="18" t="n">
        <f aca="false">IF(AND($G11="Acte signé",Paramètres!$E$14="Oui"),ROUND($E11*IF($F11="Bloc",Paramètres!$D$14,Paramètres!$C$14),2)-ROUND($E11*IF($F11="Bloc",Paramètres!$D$13,Paramètres!$C$13),2),0)</f>
        <v>0</v>
      </c>
      <c r="O11" s="18" t="n">
        <f aca="false">SUM(I11:N11)</f>
        <v>299600</v>
      </c>
      <c r="P11" s="19" t="n">
        <f aca="false">IF(E11&gt;0,O11/E11,0)</f>
        <v>0.7</v>
      </c>
      <c r="Q11" s="18" t="n">
        <f aca="false">E11-O11</f>
        <v>128400</v>
      </c>
    </row>
    <row r="12" customFormat="false" ht="15" hidden="false" customHeight="false" outlineLevel="0" collapsed="false">
      <c r="A12" s="4" t="s">
        <v>59</v>
      </c>
      <c r="B12" s="4" t="s">
        <v>45</v>
      </c>
      <c r="C12" s="4" t="s">
        <v>60</v>
      </c>
      <c r="D12" s="16" t="n">
        <v>46</v>
      </c>
      <c r="E12" s="17" t="n">
        <v>322000</v>
      </c>
      <c r="F12" s="4" t="s">
        <v>47</v>
      </c>
      <c r="G12" s="4" t="s">
        <v>61</v>
      </c>
      <c r="H12" s="12"/>
      <c r="I12" s="18" t="n">
        <f aca="false">IF(AND($G12="Acte signé",Paramètres!$E$9="Oui"),ROUND($E12*IF($F12="Bloc",Paramètres!$D$9,Paramètres!$C$9),2)-ROUND($E12*0,2),0)</f>
        <v>0</v>
      </c>
      <c r="J12" s="18" t="n">
        <f aca="false">IF(AND($G12="Acte signé",Paramètres!$E$10="Oui"),ROUND($E12*IF($F12="Bloc",Paramètres!$D$10,Paramètres!$C$10),2)-ROUND($E12*IF($F12="Bloc",Paramètres!$D$9,Paramètres!$C$9),2),0)</f>
        <v>0</v>
      </c>
      <c r="K12" s="18" t="n">
        <f aca="false">IF(AND($G12="Acte signé",Paramètres!$E$11="Oui"),ROUND($E12*IF($F12="Bloc",Paramètres!$D$11,Paramètres!$C$11),2)-ROUND($E12*IF($F12="Bloc",Paramètres!$D$10,Paramètres!$C$10),2),0)</f>
        <v>0</v>
      </c>
      <c r="L12" s="18" t="n">
        <f aca="false">IF(AND($G12="Acte signé",Paramètres!$E$12="Oui"),ROUND($E12*IF($F12="Bloc",Paramètres!$D$12,Paramètres!$C$12),2)-ROUND($E12*IF($F12="Bloc",Paramètres!$D$11,Paramètres!$C$11),2),0)</f>
        <v>0</v>
      </c>
      <c r="M12" s="18" t="n">
        <f aca="false">IF(AND($G12="Acte signé",Paramètres!$E$13="Oui"),ROUND($E12*IF($F12="Bloc",Paramètres!$D$13,Paramètres!$C$13),2)-ROUND($E12*IF($F12="Bloc",Paramètres!$D$12,Paramètres!$C$12),2),0)</f>
        <v>0</v>
      </c>
      <c r="N12" s="18" t="n">
        <f aca="false">IF(AND($G12="Acte signé",Paramètres!$E$14="Oui"),ROUND($E12*IF($F12="Bloc",Paramètres!$D$14,Paramètres!$C$14),2)-ROUND($E12*IF($F12="Bloc",Paramètres!$D$13,Paramètres!$C$13),2),0)</f>
        <v>0</v>
      </c>
      <c r="O12" s="18" t="n">
        <f aca="false">SUM(I12:N12)</f>
        <v>0</v>
      </c>
      <c r="P12" s="19" t="n">
        <f aca="false">IF(E12&gt;0,O12/E12,0)</f>
        <v>0</v>
      </c>
      <c r="Q12" s="18" t="n">
        <f aca="false">E12-O12</f>
        <v>322000</v>
      </c>
    </row>
    <row r="13" customFormat="false" ht="15" hidden="false" customHeight="false" outlineLevel="0" collapsed="false">
      <c r="A13" s="4" t="s">
        <v>62</v>
      </c>
      <c r="B13" s="4" t="s">
        <v>55</v>
      </c>
      <c r="C13" s="4" t="s">
        <v>60</v>
      </c>
      <c r="D13" s="16" t="n">
        <v>84</v>
      </c>
      <c r="E13" s="17" t="n">
        <v>575000</v>
      </c>
      <c r="F13" s="4" t="s">
        <v>47</v>
      </c>
      <c r="G13" s="4" t="s">
        <v>57</v>
      </c>
      <c r="H13" s="12"/>
      <c r="I13" s="18" t="n">
        <f aca="false">IF(AND($G13="Acte signé",Paramètres!$E$9="Oui"),ROUND($E13*IF($F13="Bloc",Paramètres!$D$9,Paramètres!$C$9),2)-ROUND($E13*0,2),0)</f>
        <v>0</v>
      </c>
      <c r="J13" s="18" t="n">
        <f aca="false">IF(AND($G13="Acte signé",Paramètres!$E$10="Oui"),ROUND($E13*IF($F13="Bloc",Paramètres!$D$10,Paramètres!$C$10),2)-ROUND($E13*IF($F13="Bloc",Paramètres!$D$9,Paramètres!$C$9),2),0)</f>
        <v>0</v>
      </c>
      <c r="K13" s="18" t="n">
        <f aca="false">IF(AND($G13="Acte signé",Paramètres!$E$11="Oui"),ROUND($E13*IF($F13="Bloc",Paramètres!$D$11,Paramètres!$C$11),2)-ROUND($E13*IF($F13="Bloc",Paramètres!$D$10,Paramètres!$C$10),2),0)</f>
        <v>0</v>
      </c>
      <c r="L13" s="18" t="n">
        <f aca="false">IF(AND($G13="Acte signé",Paramètres!$E$12="Oui"),ROUND($E13*IF($F13="Bloc",Paramètres!$D$12,Paramètres!$C$12),2)-ROUND($E13*IF($F13="Bloc",Paramètres!$D$11,Paramètres!$C$11),2),0)</f>
        <v>0</v>
      </c>
      <c r="M13" s="18" t="n">
        <f aca="false">IF(AND($G13="Acte signé",Paramètres!$E$13="Oui"),ROUND($E13*IF($F13="Bloc",Paramètres!$D$13,Paramètres!$C$13),2)-ROUND($E13*IF($F13="Bloc",Paramètres!$D$12,Paramètres!$C$12),2),0)</f>
        <v>0</v>
      </c>
      <c r="N13" s="18" t="n">
        <f aca="false">IF(AND($G13="Acte signé",Paramètres!$E$14="Oui"),ROUND($E13*IF($F13="Bloc",Paramètres!$D$14,Paramètres!$C$14),2)-ROUND($E13*IF($F13="Bloc",Paramètres!$D$13,Paramètres!$C$13),2),0)</f>
        <v>0</v>
      </c>
      <c r="O13" s="18" t="n">
        <f aca="false">SUM(I13:N13)</f>
        <v>0</v>
      </c>
      <c r="P13" s="19" t="n">
        <f aca="false">IF(E13&gt;0,O13/E13,0)</f>
        <v>0</v>
      </c>
      <c r="Q13" s="18" t="n">
        <f aca="false">E13-O13</f>
        <v>575000</v>
      </c>
    </row>
    <row r="14" customFormat="false" ht="15" hidden="false" customHeight="false" outlineLevel="0" collapsed="false">
      <c r="A14" s="4" t="s">
        <v>63</v>
      </c>
      <c r="B14" s="4" t="s">
        <v>45</v>
      </c>
      <c r="C14" s="4" t="s">
        <v>46</v>
      </c>
      <c r="D14" s="16" t="n">
        <v>43</v>
      </c>
      <c r="E14" s="17" t="n">
        <v>232000</v>
      </c>
      <c r="F14" s="4" t="s">
        <v>64</v>
      </c>
      <c r="G14" s="4" t="s">
        <v>48</v>
      </c>
      <c r="H14" s="12" t="n">
        <v>46086</v>
      </c>
      <c r="I14" s="18" t="n">
        <f aca="false">IF(AND($G14="Acte signé",Paramètres!$E$9="Oui"),ROUND($E14*IF($F14="Bloc",Paramètres!$D$9,Paramètres!$C$9),2)-ROUND($E14*0,2),0)</f>
        <v>69600</v>
      </c>
      <c r="J14" s="18" t="n">
        <f aca="false">IF(AND($G14="Acte signé",Paramètres!$E$10="Oui"),ROUND($E14*IF($F14="Bloc",Paramètres!$D$10,Paramètres!$C$10),2)-ROUND($E14*IF($F14="Bloc",Paramètres!$D$9,Paramètres!$C$9),2),0)</f>
        <v>0</v>
      </c>
      <c r="K14" s="18" t="n">
        <f aca="false">IF(AND($G14="Acte signé",Paramètres!$E$11="Oui"),ROUND($E14*IF($F14="Bloc",Paramètres!$D$11,Paramètres!$C$11),2)-ROUND($E14*IF($F14="Bloc",Paramètres!$D$10,Paramètres!$C$10),2),0)</f>
        <v>46400</v>
      </c>
      <c r="L14" s="18" t="n">
        <f aca="false">IF(AND($G14="Acte signé",Paramètres!$E$12="Oui"),ROUND($E14*IF($F14="Bloc",Paramètres!$D$12,Paramètres!$C$12),2)-ROUND($E14*IF($F14="Bloc",Paramètres!$D$11,Paramètres!$C$11),2),0)</f>
        <v>0</v>
      </c>
      <c r="M14" s="18" t="n">
        <f aca="false">IF(AND($G14="Acte signé",Paramètres!$E$13="Oui"),ROUND($E14*IF($F14="Bloc",Paramètres!$D$13,Paramètres!$C$13),2)-ROUND($E14*IF($F14="Bloc",Paramètres!$D$12,Paramètres!$C$12),2),0)</f>
        <v>0</v>
      </c>
      <c r="N14" s="18" t="n">
        <f aca="false">IF(AND($G14="Acte signé",Paramètres!$E$14="Oui"),ROUND($E14*IF($F14="Bloc",Paramètres!$D$14,Paramètres!$C$14),2)-ROUND($E14*IF($F14="Bloc",Paramètres!$D$13,Paramètres!$C$13),2),0)</f>
        <v>0</v>
      </c>
      <c r="O14" s="18" t="n">
        <f aca="false">SUM(I14:N14)</f>
        <v>116000</v>
      </c>
      <c r="P14" s="19" t="n">
        <f aca="false">IF(E14&gt;0,O14/E14,0)</f>
        <v>0.5</v>
      </c>
      <c r="Q14" s="18" t="n">
        <f aca="false">E14-O14</f>
        <v>116000</v>
      </c>
    </row>
    <row r="15" customFormat="false" ht="15" hidden="false" customHeight="false" outlineLevel="0" collapsed="false">
      <c r="A15" s="4" t="s">
        <v>65</v>
      </c>
      <c r="B15" s="4" t="s">
        <v>50</v>
      </c>
      <c r="C15" s="4" t="s">
        <v>46</v>
      </c>
      <c r="D15" s="16" t="n">
        <v>62</v>
      </c>
      <c r="E15" s="17" t="n">
        <v>318000</v>
      </c>
      <c r="F15" s="4" t="s">
        <v>64</v>
      </c>
      <c r="G15" s="4" t="s">
        <v>48</v>
      </c>
      <c r="H15" s="12" t="n">
        <v>46086</v>
      </c>
      <c r="I15" s="18" t="n">
        <f aca="false">IF(AND($G15="Acte signé",Paramètres!$E$9="Oui"),ROUND($E15*IF($F15="Bloc",Paramètres!$D$9,Paramètres!$C$9),2)-ROUND($E15*0,2),0)</f>
        <v>95400</v>
      </c>
      <c r="J15" s="18" t="n">
        <f aca="false">IF(AND($G15="Acte signé",Paramètres!$E$10="Oui"),ROUND($E15*IF($F15="Bloc",Paramètres!$D$10,Paramètres!$C$10),2)-ROUND($E15*IF($F15="Bloc",Paramètres!$D$9,Paramètres!$C$9),2),0)</f>
        <v>0</v>
      </c>
      <c r="K15" s="18" t="n">
        <f aca="false">IF(AND($G15="Acte signé",Paramètres!$E$11="Oui"),ROUND($E15*IF($F15="Bloc",Paramètres!$D$11,Paramètres!$C$11),2)-ROUND($E15*IF($F15="Bloc",Paramètres!$D$10,Paramètres!$C$10),2),0)</f>
        <v>63600</v>
      </c>
      <c r="L15" s="18" t="n">
        <f aca="false">IF(AND($G15="Acte signé",Paramètres!$E$12="Oui"),ROUND($E15*IF($F15="Bloc",Paramètres!$D$12,Paramètres!$C$12),2)-ROUND($E15*IF($F15="Bloc",Paramètres!$D$11,Paramètres!$C$11),2),0)</f>
        <v>0</v>
      </c>
      <c r="M15" s="18" t="n">
        <f aca="false">IF(AND($G15="Acte signé",Paramètres!$E$13="Oui"),ROUND($E15*IF($F15="Bloc",Paramètres!$D$13,Paramètres!$C$13),2)-ROUND($E15*IF($F15="Bloc",Paramètres!$D$12,Paramètres!$C$12),2),0)</f>
        <v>0</v>
      </c>
      <c r="N15" s="18" t="n">
        <f aca="false">IF(AND($G15="Acte signé",Paramètres!$E$14="Oui"),ROUND($E15*IF($F15="Bloc",Paramètres!$D$14,Paramètres!$C$14),2)-ROUND($E15*IF($F15="Bloc",Paramètres!$D$13,Paramètres!$C$13),2),0)</f>
        <v>0</v>
      </c>
      <c r="O15" s="18" t="n">
        <f aca="false">SUM(I15:N15)</f>
        <v>159000</v>
      </c>
      <c r="P15" s="19" t="n">
        <f aca="false">IF(E15&gt;0,O15/E15,0)</f>
        <v>0.5</v>
      </c>
      <c r="Q15" s="18" t="n">
        <f aca="false">E15-O15</f>
        <v>159000</v>
      </c>
    </row>
    <row r="16" customFormat="false" ht="15" hidden="false" customHeight="false" outlineLevel="0" collapsed="false">
      <c r="A16" s="4" t="s">
        <v>66</v>
      </c>
      <c r="B16" s="4" t="s">
        <v>50</v>
      </c>
      <c r="C16" s="4" t="s">
        <v>52</v>
      </c>
      <c r="D16" s="16" t="n">
        <v>62</v>
      </c>
      <c r="E16" s="17" t="n">
        <v>322000</v>
      </c>
      <c r="F16" s="4" t="s">
        <v>64</v>
      </c>
      <c r="G16" s="4" t="s">
        <v>48</v>
      </c>
      <c r="H16" s="12" t="n">
        <v>46086</v>
      </c>
      <c r="I16" s="18" t="n">
        <f aca="false">IF(AND($G16="Acte signé",Paramètres!$E$9="Oui"),ROUND($E16*IF($F16="Bloc",Paramètres!$D$9,Paramètres!$C$9),2)-ROUND($E16*0,2),0)</f>
        <v>96600</v>
      </c>
      <c r="J16" s="18" t="n">
        <f aca="false">IF(AND($G16="Acte signé",Paramètres!$E$10="Oui"),ROUND($E16*IF($F16="Bloc",Paramètres!$D$10,Paramètres!$C$10),2)-ROUND($E16*IF($F16="Bloc",Paramètres!$D$9,Paramètres!$C$9),2),0)</f>
        <v>0</v>
      </c>
      <c r="K16" s="18" t="n">
        <f aca="false">IF(AND($G16="Acte signé",Paramètres!$E$11="Oui"),ROUND($E16*IF($F16="Bloc",Paramètres!$D$11,Paramètres!$C$11),2)-ROUND($E16*IF($F16="Bloc",Paramètres!$D$10,Paramètres!$C$10),2),0)</f>
        <v>64400</v>
      </c>
      <c r="L16" s="18" t="n">
        <f aca="false">IF(AND($G16="Acte signé",Paramètres!$E$12="Oui"),ROUND($E16*IF($F16="Bloc",Paramètres!$D$12,Paramètres!$C$12),2)-ROUND($E16*IF($F16="Bloc",Paramètres!$D$11,Paramètres!$C$11),2),0)</f>
        <v>0</v>
      </c>
      <c r="M16" s="18" t="n">
        <f aca="false">IF(AND($G16="Acte signé",Paramètres!$E$13="Oui"),ROUND($E16*IF($F16="Bloc",Paramètres!$D$13,Paramètres!$C$13),2)-ROUND($E16*IF($F16="Bloc",Paramètres!$D$12,Paramètres!$C$12),2),0)</f>
        <v>0</v>
      </c>
      <c r="N16" s="18" t="n">
        <f aca="false">IF(AND($G16="Acte signé",Paramètres!$E$14="Oui"),ROUND($E16*IF($F16="Bloc",Paramètres!$D$14,Paramètres!$C$14),2)-ROUND($E16*IF($F16="Bloc",Paramètres!$D$13,Paramètres!$C$13),2),0)</f>
        <v>0</v>
      </c>
      <c r="O16" s="18" t="n">
        <f aca="false">SUM(I16:N16)</f>
        <v>161000</v>
      </c>
      <c r="P16" s="19" t="n">
        <f aca="false">IF(E16&gt;0,O16/E16,0)</f>
        <v>0.5</v>
      </c>
      <c r="Q16" s="18" t="n">
        <f aca="false">E16-O16</f>
        <v>161000</v>
      </c>
    </row>
    <row r="17" customFormat="false" ht="15" hidden="false" customHeight="false" outlineLevel="0" collapsed="false">
      <c r="A17" s="4" t="s">
        <v>67</v>
      </c>
      <c r="B17" s="4" t="s">
        <v>50</v>
      </c>
      <c r="C17" s="4" t="s">
        <v>52</v>
      </c>
      <c r="D17" s="16" t="n">
        <v>63</v>
      </c>
      <c r="E17" s="17" t="n">
        <v>325000</v>
      </c>
      <c r="F17" s="4" t="s">
        <v>64</v>
      </c>
      <c r="G17" s="4" t="s">
        <v>48</v>
      </c>
      <c r="H17" s="12" t="n">
        <v>46086</v>
      </c>
      <c r="I17" s="18" t="n">
        <f aca="false">IF(AND($G17="Acte signé",Paramètres!$E$9="Oui"),ROUND($E17*IF($F17="Bloc",Paramètres!$D$9,Paramètres!$C$9),2)-ROUND($E17*0,2),0)</f>
        <v>97500</v>
      </c>
      <c r="J17" s="18" t="n">
        <f aca="false">IF(AND($G17="Acte signé",Paramètres!$E$10="Oui"),ROUND($E17*IF($F17="Bloc",Paramètres!$D$10,Paramètres!$C$10),2)-ROUND($E17*IF($F17="Bloc",Paramètres!$D$9,Paramètres!$C$9),2),0)</f>
        <v>0</v>
      </c>
      <c r="K17" s="18" t="n">
        <f aca="false">IF(AND($G17="Acte signé",Paramètres!$E$11="Oui"),ROUND($E17*IF($F17="Bloc",Paramètres!$D$11,Paramètres!$C$11),2)-ROUND($E17*IF($F17="Bloc",Paramètres!$D$10,Paramètres!$C$10),2),0)</f>
        <v>65000</v>
      </c>
      <c r="L17" s="18" t="n">
        <f aca="false">IF(AND($G17="Acte signé",Paramètres!$E$12="Oui"),ROUND($E17*IF($F17="Bloc",Paramètres!$D$12,Paramètres!$C$12),2)-ROUND($E17*IF($F17="Bloc",Paramètres!$D$11,Paramètres!$C$11),2),0)</f>
        <v>0</v>
      </c>
      <c r="M17" s="18" t="n">
        <f aca="false">IF(AND($G17="Acte signé",Paramètres!$E$13="Oui"),ROUND($E17*IF($F17="Bloc",Paramètres!$D$13,Paramètres!$C$13),2)-ROUND($E17*IF($F17="Bloc",Paramètres!$D$12,Paramètres!$C$12),2),0)</f>
        <v>0</v>
      </c>
      <c r="N17" s="18" t="n">
        <f aca="false">IF(AND($G17="Acte signé",Paramètres!$E$14="Oui"),ROUND($E17*IF($F17="Bloc",Paramètres!$D$14,Paramètres!$C$14),2)-ROUND($E17*IF($F17="Bloc",Paramètres!$D$13,Paramètres!$C$13),2),0)</f>
        <v>0</v>
      </c>
      <c r="O17" s="18" t="n">
        <f aca="false">SUM(I17:N17)</f>
        <v>162500</v>
      </c>
      <c r="P17" s="19" t="n">
        <f aca="false">IF(E17&gt;0,O17/E17,0)</f>
        <v>0.5</v>
      </c>
      <c r="Q17" s="18" t="n">
        <f aca="false">E17-O17</f>
        <v>162500</v>
      </c>
    </row>
    <row r="18" customFormat="false" ht="15" hidden="false" customHeight="false" outlineLevel="0" collapsed="false">
      <c r="A18" s="4" t="s">
        <v>68</v>
      </c>
      <c r="B18" s="4" t="s">
        <v>55</v>
      </c>
      <c r="C18" s="4" t="s">
        <v>56</v>
      </c>
      <c r="D18" s="16" t="n">
        <v>78</v>
      </c>
      <c r="E18" s="17" t="n">
        <v>396000</v>
      </c>
      <c r="F18" s="4" t="s">
        <v>64</v>
      </c>
      <c r="G18" s="4" t="s">
        <v>48</v>
      </c>
      <c r="H18" s="12" t="n">
        <v>46086</v>
      </c>
      <c r="I18" s="18" t="n">
        <f aca="false">IF(AND($G18="Acte signé",Paramètres!$E$9="Oui"),ROUND($E18*IF($F18="Bloc",Paramètres!$D$9,Paramètres!$C$9),2)-ROUND($E18*0,2),0)</f>
        <v>118800</v>
      </c>
      <c r="J18" s="18" t="n">
        <f aca="false">IF(AND($G18="Acte signé",Paramètres!$E$10="Oui"),ROUND($E18*IF($F18="Bloc",Paramètres!$D$10,Paramètres!$C$10),2)-ROUND($E18*IF($F18="Bloc",Paramètres!$D$9,Paramètres!$C$9),2),0)</f>
        <v>0</v>
      </c>
      <c r="K18" s="18" t="n">
        <f aca="false">IF(AND($G18="Acte signé",Paramètres!$E$11="Oui"),ROUND($E18*IF($F18="Bloc",Paramètres!$D$11,Paramètres!$C$11),2)-ROUND($E18*IF($F18="Bloc",Paramètres!$D$10,Paramètres!$C$10),2),0)</f>
        <v>79200</v>
      </c>
      <c r="L18" s="18" t="n">
        <f aca="false">IF(AND($G18="Acte signé",Paramètres!$E$12="Oui"),ROUND($E18*IF($F18="Bloc",Paramètres!$D$12,Paramètres!$C$12),2)-ROUND($E18*IF($F18="Bloc",Paramètres!$D$11,Paramètres!$C$11),2),0)</f>
        <v>0</v>
      </c>
      <c r="M18" s="18" t="n">
        <f aca="false">IF(AND($G18="Acte signé",Paramètres!$E$13="Oui"),ROUND($E18*IF($F18="Bloc",Paramètres!$D$13,Paramètres!$C$13),2)-ROUND($E18*IF($F18="Bloc",Paramètres!$D$12,Paramètres!$C$12),2),0)</f>
        <v>0</v>
      </c>
      <c r="N18" s="18" t="n">
        <f aca="false">IF(AND($G18="Acte signé",Paramètres!$E$14="Oui"),ROUND($E18*IF($F18="Bloc",Paramètres!$D$14,Paramètres!$C$14),2)-ROUND($E18*IF($F18="Bloc",Paramètres!$D$13,Paramètres!$C$13),2),0)</f>
        <v>0</v>
      </c>
      <c r="O18" s="18" t="n">
        <f aca="false">SUM(I18:N18)</f>
        <v>198000</v>
      </c>
      <c r="P18" s="19" t="n">
        <f aca="false">IF(E18&gt;0,O18/E18,0)</f>
        <v>0.5</v>
      </c>
      <c r="Q18" s="18" t="n">
        <f aca="false">E18-O18</f>
        <v>198000</v>
      </c>
    </row>
    <row r="19" customFormat="false" ht="15" hidden="false" customHeight="false" outlineLevel="0" collapsed="false">
      <c r="A19" s="4" t="s">
        <v>69</v>
      </c>
      <c r="B19" s="4" t="s">
        <v>55</v>
      </c>
      <c r="C19" s="4" t="s">
        <v>56</v>
      </c>
      <c r="D19" s="16" t="n">
        <v>79</v>
      </c>
      <c r="E19" s="17" t="n">
        <v>399000</v>
      </c>
      <c r="F19" s="4" t="s">
        <v>64</v>
      </c>
      <c r="G19" s="4" t="s">
        <v>48</v>
      </c>
      <c r="H19" s="12" t="n">
        <v>46086</v>
      </c>
      <c r="I19" s="18" t="n">
        <f aca="false">IF(AND($G19="Acte signé",Paramètres!$E$9="Oui"),ROUND($E19*IF($F19="Bloc",Paramètres!$D$9,Paramètres!$C$9),2)-ROUND($E19*0,2),0)</f>
        <v>119700</v>
      </c>
      <c r="J19" s="18" t="n">
        <f aca="false">IF(AND($G19="Acte signé",Paramètres!$E$10="Oui"),ROUND($E19*IF($F19="Bloc",Paramètres!$D$10,Paramètres!$C$10),2)-ROUND($E19*IF($F19="Bloc",Paramètres!$D$9,Paramètres!$C$9),2),0)</f>
        <v>0</v>
      </c>
      <c r="K19" s="18" t="n">
        <f aca="false">IF(AND($G19="Acte signé",Paramètres!$E$11="Oui"),ROUND($E19*IF($F19="Bloc",Paramètres!$D$11,Paramètres!$C$11),2)-ROUND($E19*IF($F19="Bloc",Paramètres!$D$10,Paramètres!$C$10),2),0)</f>
        <v>79800</v>
      </c>
      <c r="L19" s="18" t="n">
        <f aca="false">IF(AND($G19="Acte signé",Paramètres!$E$12="Oui"),ROUND($E19*IF($F19="Bloc",Paramètres!$D$12,Paramètres!$C$12),2)-ROUND($E19*IF($F19="Bloc",Paramètres!$D$11,Paramètres!$C$11),2),0)</f>
        <v>0</v>
      </c>
      <c r="M19" s="18" t="n">
        <f aca="false">IF(AND($G19="Acte signé",Paramètres!$E$13="Oui"),ROUND($E19*IF($F19="Bloc",Paramètres!$D$13,Paramètres!$C$13),2)-ROUND($E19*IF($F19="Bloc",Paramètres!$D$12,Paramètres!$C$12),2),0)</f>
        <v>0</v>
      </c>
      <c r="N19" s="18" t="n">
        <f aca="false">IF(AND($G19="Acte signé",Paramètres!$E$14="Oui"),ROUND($E19*IF($F19="Bloc",Paramètres!$D$14,Paramètres!$C$14),2)-ROUND($E19*IF($F19="Bloc",Paramètres!$D$13,Paramètres!$C$13),2),0)</f>
        <v>0</v>
      </c>
      <c r="O19" s="18" t="n">
        <f aca="false">SUM(I19:N19)</f>
        <v>199500</v>
      </c>
      <c r="P19" s="19" t="n">
        <f aca="false">IF(E19&gt;0,O19/E19,0)</f>
        <v>0.5</v>
      </c>
      <c r="Q19" s="18" t="n">
        <f aca="false">E19-O19</f>
        <v>199500</v>
      </c>
    </row>
    <row r="20" customFormat="false" ht="15" hidden="false" customHeight="false" outlineLevel="0" collapsed="false">
      <c r="A20" s="20" t="s">
        <v>70</v>
      </c>
      <c r="B20" s="20"/>
      <c r="C20" s="20"/>
      <c r="D20" s="21" t="n">
        <f aca="false">SUM(D6:D19)</f>
        <v>880</v>
      </c>
      <c r="E20" s="22" t="n">
        <f aca="false">SUM(E6:E19)</f>
        <v>5258000</v>
      </c>
      <c r="F20" s="20"/>
      <c r="G20" s="23" t="str">
        <f aca="false">COUNTIF(G6:G19,"Acte signé")&amp;" actés"</f>
        <v>11 actés</v>
      </c>
      <c r="H20" s="20"/>
      <c r="I20" s="22" t="n">
        <f aca="false">SUM(I6:I19)</f>
        <v>1234950</v>
      </c>
      <c r="J20" s="22" t="n">
        <f aca="false">SUM(J6:J19)</f>
        <v>182100</v>
      </c>
      <c r="K20" s="22" t="n">
        <f aca="false">SUM(K6:K19)</f>
        <v>853650</v>
      </c>
      <c r="L20" s="22" t="n">
        <f aca="false">SUM(L6:L19)</f>
        <v>0</v>
      </c>
      <c r="M20" s="22" t="n">
        <f aca="false">SUM(M6:M19)</f>
        <v>0</v>
      </c>
      <c r="N20" s="22" t="n">
        <f aca="false">SUM(N6:N19)</f>
        <v>0</v>
      </c>
      <c r="O20" s="22" t="n">
        <f aca="false">SUM(O6:O19)</f>
        <v>2270700</v>
      </c>
      <c r="P20" s="24" t="n">
        <f aca="false">IF(E20&gt;0,O20/E20,0)</f>
        <v>0.431856219094713</v>
      </c>
      <c r="Q20" s="22" t="n">
        <f aca="false">SUM(Q6:Q19)</f>
        <v>2987300</v>
      </c>
    </row>
    <row r="22" customFormat="false" ht="15" hidden="false" customHeight="false" outlineLevel="0" collapsed="false">
      <c r="A22" s="5" t="s">
        <v>71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  <row r="23" customFormat="false" ht="15" hidden="false" customHeight="false" outlineLevel="0" collapsed="false">
      <c r="A23" s="9" t="s">
        <v>72</v>
      </c>
      <c r="I23" s="18" t="n">
        <f aca="false">SUMIF($F$6:$F$19,"Détail",I6:I19)</f>
        <v>637350</v>
      </c>
      <c r="J23" s="18" t="n">
        <f aca="false">SUMIF($F$6:$F$19,"Détail",J6:J19)</f>
        <v>182100</v>
      </c>
      <c r="K23" s="18" t="n">
        <f aca="false">SUMIF($F$6:$F$19,"Détail",K6:K19)</f>
        <v>455250</v>
      </c>
      <c r="L23" s="18" t="n">
        <f aca="false">SUMIF($F$6:$F$19,"Détail",L6:L19)</f>
        <v>0</v>
      </c>
      <c r="M23" s="18" t="n">
        <f aca="false">SUMIF($F$6:$F$19,"Détail",M6:M19)</f>
        <v>0</v>
      </c>
      <c r="N23" s="18" t="n">
        <f aca="false">SUMIF($F$6:$F$19,"Détail",N6:N19)</f>
        <v>0</v>
      </c>
    </row>
    <row r="24" customFormat="false" ht="15" hidden="false" customHeight="false" outlineLevel="0" collapsed="false">
      <c r="A24" s="9" t="s">
        <v>73</v>
      </c>
      <c r="I24" s="18" t="n">
        <f aca="false">SUMIF($F$6:$F$19,"Bloc",I6:I19)</f>
        <v>597600</v>
      </c>
      <c r="J24" s="18" t="n">
        <f aca="false">SUMIF($F$6:$F$19,"Bloc",J6:J19)</f>
        <v>0</v>
      </c>
      <c r="K24" s="18" t="n">
        <f aca="false">SUMIF($F$6:$F$19,"Bloc",K6:K19)</f>
        <v>398400</v>
      </c>
      <c r="L24" s="18" t="n">
        <f aca="false">SUMIF($F$6:$F$19,"Bloc",L6:L19)</f>
        <v>0</v>
      </c>
      <c r="M24" s="18" t="n">
        <f aca="false">SUMIF($F$6:$F$19,"Bloc",M6:M19)</f>
        <v>0</v>
      </c>
      <c r="N24" s="18" t="n">
        <f aca="false">SUMIF($F$6:$F$19,"Bloc",N6:N19)</f>
        <v>0</v>
      </c>
    </row>
    <row r="25" customFormat="false" ht="15" hidden="false" customHeight="false" outlineLevel="0" collapsed="false">
      <c r="A25" s="13" t="s">
        <v>74</v>
      </c>
      <c r="I25" s="25" t="n">
        <f aca="false">I20</f>
        <v>1234950</v>
      </c>
      <c r="J25" s="25" t="n">
        <f aca="false">I25+J20</f>
        <v>1417050</v>
      </c>
      <c r="K25" s="25" t="n">
        <f aca="false">J25+K20</f>
        <v>2270700</v>
      </c>
      <c r="L25" s="25" t="n">
        <f aca="false">K25+L20</f>
        <v>2270700</v>
      </c>
      <c r="M25" s="25" t="n">
        <f aca="false">L25+M20</f>
        <v>2270700</v>
      </c>
      <c r="N25" s="25" t="n">
        <f aca="false">M25+N20</f>
        <v>2270700</v>
      </c>
    </row>
    <row r="26" customFormat="false" ht="15" hidden="false" customHeight="false" outlineLevel="0" collapsed="false">
      <c r="A26" s="9" t="s">
        <v>75</v>
      </c>
      <c r="I26" s="19" t="n">
        <f aca="false">IF($E$20&gt;0,I25/$E$20,0)</f>
        <v>0.234870673259795</v>
      </c>
      <c r="J26" s="19" t="n">
        <f aca="false">IF($E$20&gt;0,J25/$E$20,0)</f>
        <v>0.26950361354127</v>
      </c>
      <c r="K26" s="19" t="n">
        <f aca="false">IF($E$20&gt;0,K25/$E$20,0)</f>
        <v>0.431856219094713</v>
      </c>
      <c r="L26" s="19" t="n">
        <f aca="false">IF($E$20&gt;0,L25/$E$20,0)</f>
        <v>0.431856219094713</v>
      </c>
      <c r="M26" s="19" t="n">
        <f aca="false">IF($E$20&gt;0,M25/$E$20,0)</f>
        <v>0.431856219094713</v>
      </c>
      <c r="N26" s="19" t="n">
        <f aca="false">IF($E$20&gt;0,N25/$E$20,0)</f>
        <v>0.431856219094713</v>
      </c>
    </row>
    <row r="27" customFormat="false" ht="15" hidden="false" customHeight="false" outlineLevel="0" collapsed="false">
      <c r="A27" s="13" t="s">
        <v>76</v>
      </c>
      <c r="I27" s="25" t="n">
        <f aca="false">$E$20-I25</f>
        <v>4023050</v>
      </c>
      <c r="J27" s="25" t="n">
        <f aca="false">$E$20-J25</f>
        <v>3840950</v>
      </c>
      <c r="K27" s="25" t="n">
        <f aca="false">$E$20-K25</f>
        <v>2987300</v>
      </c>
      <c r="L27" s="25" t="n">
        <f aca="false">$E$20-L25</f>
        <v>2987300</v>
      </c>
      <c r="M27" s="25" t="n">
        <f aca="false">$E$20-M25</f>
        <v>2987300</v>
      </c>
      <c r="N27" s="25" t="n">
        <f aca="false">$E$20-N25</f>
        <v>2987300</v>
      </c>
    </row>
  </sheetData>
  <dataValidations count="2">
    <dataValidation allowBlank="true" errorStyle="stop" operator="between" showDropDown="false" showErrorMessage="false" showInputMessage="false" sqref="F6:F19" type="list">
      <formula1>"Détail,Bloc"</formula1>
      <formula2>0</formula2>
    </dataValidation>
    <dataValidation allowBlank="true" errorStyle="stop" operator="between" showDropDown="false" showErrorMessage="false" showInputMessage="false" sqref="G6:G19" type="list">
      <formula1>"Disponible,Réservé,Acte signé"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8"/>
    <col collapsed="false" customWidth="true" hidden="false" outlineLevel="0" max="2" min="2" style="0" width="24"/>
    <col collapsed="false" customWidth="true" hidden="false" outlineLevel="0" max="3" min="3" style="0" width="60"/>
  </cols>
  <sheetData>
    <row r="1" customFormat="false" ht="24" hidden="false" customHeight="true" outlineLevel="0" collapsed="false">
      <c r="A1" s="1" t="s">
        <v>77</v>
      </c>
    </row>
    <row r="2" customFormat="false" ht="15" hidden="false" customHeight="false" outlineLevel="0" collapsed="false">
      <c r="A2" s="2" t="s">
        <v>78</v>
      </c>
    </row>
    <row r="4" customFormat="false" ht="24" hidden="false" customHeight="true" outlineLevel="0" collapsed="false">
      <c r="A4" s="7" t="s">
        <v>79</v>
      </c>
      <c r="B4" s="8" t="s">
        <v>80</v>
      </c>
      <c r="C4" s="8" t="s">
        <v>81</v>
      </c>
    </row>
    <row r="5" customFormat="false" ht="15" hidden="false" customHeight="false" outlineLevel="0" collapsed="false">
      <c r="A5" s="5" t="s">
        <v>82</v>
      </c>
      <c r="B5" s="6"/>
      <c r="C5" s="6"/>
    </row>
    <row r="6" customFormat="false" ht="15" hidden="false" customHeight="false" outlineLevel="0" collapsed="false">
      <c r="A6" s="9" t="s">
        <v>2</v>
      </c>
      <c r="B6" s="26" t="str">
        <f aca="false">Paramètres!B4</f>
        <v>Résidence Les Tamaris</v>
      </c>
      <c r="C6" s="27" t="s">
        <v>5</v>
      </c>
    </row>
    <row r="7" customFormat="false" ht="15" hidden="false" customHeight="false" outlineLevel="0" collapsed="false">
      <c r="A7" s="9" t="s">
        <v>83</v>
      </c>
      <c r="B7" s="18" t="n">
        <f aca="false">'Lots et appels'!E20</f>
        <v>5258000</v>
      </c>
      <c r="C7" s="27" t="s">
        <v>84</v>
      </c>
    </row>
    <row r="8" customFormat="false" ht="15" hidden="false" customHeight="false" outlineLevel="0" collapsed="false">
      <c r="A8" s="9" t="s">
        <v>85</v>
      </c>
      <c r="B8" s="18" t="n">
        <f aca="false">SUMIF('Lots et appels'!G6:G19,"Acte signé",'Lots et appels'!E6:E19)</f>
        <v>3813000</v>
      </c>
      <c r="C8" s="27" t="s">
        <v>86</v>
      </c>
    </row>
    <row r="9" customFormat="false" ht="15" hidden="false" customHeight="false" outlineLevel="0" collapsed="false">
      <c r="A9" s="9" t="s">
        <v>87</v>
      </c>
      <c r="B9" s="18" t="n">
        <f aca="false">SUMIF('Lots et appels'!G6:G19,"Réservé",'Lots et appels'!E6:E19)</f>
        <v>1123000</v>
      </c>
      <c r="C9" s="27" t="s">
        <v>88</v>
      </c>
    </row>
    <row r="10" customFormat="false" ht="15" hidden="false" customHeight="false" outlineLevel="0" collapsed="false">
      <c r="A10" s="9" t="s">
        <v>89</v>
      </c>
      <c r="B10" s="18" t="n">
        <f aca="false">SUMIF('Lots et appels'!G6:G19,"Disponible",'Lots et appels'!E6:E19)</f>
        <v>322000</v>
      </c>
      <c r="C10" s="27"/>
    </row>
    <row r="11" customFormat="false" ht="15" hidden="false" customHeight="false" outlineLevel="0" collapsed="false">
      <c r="A11" s="5" t="s">
        <v>90</v>
      </c>
      <c r="B11" s="6"/>
      <c r="C11" s="6"/>
    </row>
    <row r="12" customFormat="false" ht="15" hidden="false" customHeight="false" outlineLevel="0" collapsed="false">
      <c r="A12" s="9" t="s">
        <v>26</v>
      </c>
      <c r="B12" s="26" t="str">
        <f aca="false">Paramètres!B18</f>
        <v>Mise hors d'eau</v>
      </c>
      <c r="C12" s="27"/>
    </row>
    <row r="13" customFormat="false" ht="15" hidden="false" customHeight="false" outlineLevel="0" collapsed="false">
      <c r="A13" s="9" t="s">
        <v>91</v>
      </c>
      <c r="B13" s="28" t="n">
        <f aca="false">IF(Paramètres!$B$17=0,0,INDEX(Paramètres!B9:B14,Paramètres!$B$17))</f>
        <v>0.7</v>
      </c>
      <c r="C13" s="27" t="s">
        <v>92</v>
      </c>
    </row>
    <row r="14" customFormat="false" ht="15" hidden="false" customHeight="false" outlineLevel="0" collapsed="false">
      <c r="A14" s="5" t="s">
        <v>93</v>
      </c>
      <c r="B14" s="6"/>
      <c r="C14" s="6"/>
    </row>
    <row r="15" customFormat="false" ht="15" hidden="false" customHeight="false" outlineLevel="0" collapsed="false">
      <c r="A15" s="9" t="s">
        <v>94</v>
      </c>
      <c r="B15" s="25" t="n">
        <f aca="false">'Lots et appels'!O20</f>
        <v>2270700</v>
      </c>
      <c r="C15" s="27"/>
    </row>
    <row r="16" customFormat="false" ht="15" hidden="false" customHeight="false" outlineLevel="0" collapsed="false">
      <c r="A16" s="9" t="s">
        <v>72</v>
      </c>
      <c r="B16" s="18" t="n">
        <f aca="false">SUMIF('Lots et appels'!F6:F19,"Détail",'Lots et appels'!O6:O19)</f>
        <v>1274700</v>
      </c>
      <c r="C16" s="27"/>
    </row>
    <row r="17" customFormat="false" ht="15" hidden="false" customHeight="false" outlineLevel="0" collapsed="false">
      <c r="A17" s="9" t="s">
        <v>73</v>
      </c>
      <c r="B17" s="18" t="n">
        <f aca="false">SUMIF('Lots et appels'!F6:F19,"Bloc",'Lots et appels'!O6:O19)</f>
        <v>996000</v>
      </c>
      <c r="C17" s="27" t="s">
        <v>95</v>
      </c>
    </row>
    <row r="18" customFormat="false" ht="15" hidden="false" customHeight="false" outlineLevel="0" collapsed="false">
      <c r="A18" s="9" t="s">
        <v>96</v>
      </c>
      <c r="B18" s="19" t="n">
        <f aca="false">IF(B7&gt;0,B15/B7,0)</f>
        <v>0.431856219094713</v>
      </c>
      <c r="C18" s="27"/>
    </row>
    <row r="19" customFormat="false" ht="15" hidden="false" customHeight="false" outlineLevel="0" collapsed="false">
      <c r="A19" s="9" t="s">
        <v>97</v>
      </c>
      <c r="B19" s="25" t="n">
        <f aca="false">'Lots et appels'!Q20</f>
        <v>2987300</v>
      </c>
      <c r="C19" s="27" t="s">
        <v>98</v>
      </c>
    </row>
    <row r="20" customFormat="false" ht="15" hidden="false" customHeight="false" outlineLevel="0" collapsed="false">
      <c r="A20" s="9" t="s">
        <v>99</v>
      </c>
      <c r="B20" s="18" t="n">
        <f aca="false">SUMIFS('Lots et appels'!Q6:Q19,'Lots et appels'!G6:G19,"Acte signé")</f>
        <v>1542300</v>
      </c>
      <c r="C20" s="27" t="s">
        <v>100</v>
      </c>
    </row>
    <row r="21" customFormat="false" ht="15" hidden="false" customHeight="false" outlineLevel="0" collapsed="false">
      <c r="A21" s="9" t="s">
        <v>101</v>
      </c>
      <c r="B21" s="18" t="n">
        <f aca="false">SUMIFS('Lots et appels'!Q6:Q19,'Lots et appels'!G6:G19,"&lt;&gt;Acte signé")</f>
        <v>1445000</v>
      </c>
      <c r="C21" s="27" t="s">
        <v>102</v>
      </c>
    </row>
    <row r="22" customFormat="false" ht="15" hidden="false" customHeight="false" outlineLevel="0" collapsed="false">
      <c r="A22" s="5" t="s">
        <v>103</v>
      </c>
      <c r="B22" s="6"/>
      <c r="C22" s="6"/>
    </row>
    <row r="23" customFormat="false" ht="15" hidden="false" customHeight="false" outlineLevel="0" collapsed="false">
      <c r="A23" s="9" t="s">
        <v>104</v>
      </c>
      <c r="B23" s="26" t="str">
        <f aca="false">IF(Paramètres!$B$17&gt;=6,"Aucun : chantier achevé",INDEX(Paramètres!A9:A14,Paramètres!$B$17+1))</f>
        <v>Cloisons et menuiseries extérieures</v>
      </c>
      <c r="C23" s="27"/>
    </row>
    <row r="24" customFormat="false" ht="15" hidden="false" customHeight="false" outlineLevel="0" collapsed="false">
      <c r="A24" s="9" t="s">
        <v>105</v>
      </c>
      <c r="B24" s="29" t="n">
        <f aca="false">IF(Paramètres!$B$17&gt;=6,"",INDEX(Paramètres!F9:F14,Paramètres!$B$17+1))</f>
        <v>46367</v>
      </c>
      <c r="C24" s="27"/>
    </row>
    <row r="25" customFormat="false" ht="15" hidden="false" customHeight="false" outlineLevel="0" collapsed="false">
      <c r="A25" s="9" t="s">
        <v>106</v>
      </c>
      <c r="B25" s="18" t="n">
        <f aca="false">IF(Paramètres!$B$17&gt;=6,0,SUMPRODUCT(('Lots et appels'!G6:G19="Acte signé")*'Lots et appels'!E6:E19*(('Lots et appels'!F6:F19="Bloc")*(INDEX(Paramètres!D9:D14,Paramètres!$B$17+1)-IF(Paramètres!$B$17=0,0,INDEX(Paramètres!D9:D14,Paramètres!$B$17)))+('Lots et appels'!F6:F19&lt;&gt;"Bloc")*(INDEX(Paramètres!C9:C14,Paramètres!$B$17+1)-IF(Paramètres!$B$17=0,0,INDEX(Paramètres!C9:C14,Paramètres!$B$17))))))</f>
        <v>182100</v>
      </c>
      <c r="C25" s="27" t="s">
        <v>107</v>
      </c>
    </row>
    <row r="26" customFormat="false" ht="15" hidden="false" customHeight="false" outlineLevel="0" collapsed="false">
      <c r="A26" s="5" t="s">
        <v>108</v>
      </c>
      <c r="B26" s="6"/>
      <c r="C26" s="6"/>
    </row>
    <row r="27" customFormat="false" ht="15" hidden="false" customHeight="false" outlineLevel="0" collapsed="false">
      <c r="A27" s="9" t="s">
        <v>109</v>
      </c>
      <c r="B27" s="26" t="str">
        <f aca="false">IF(Paramètres!$B$17=0,"Conforme",IF(MAX('Lots et appels'!P6:P19)&lt;=B13+0.000001,"Conforme","Dépasse le plafond"))</f>
        <v>Conforme</v>
      </c>
      <c r="C27" s="27" t="s">
        <v>110</v>
      </c>
    </row>
    <row r="28" customFormat="false" ht="15" hidden="false" customHeight="false" outlineLevel="0" collapsed="false">
      <c r="A28" s="9" t="s">
        <v>111</v>
      </c>
      <c r="B28" s="26" t="str">
        <f aca="false">Paramètres!B16</f>
        <v>Oui</v>
      </c>
      <c r="C28" s="27" t="s">
        <v>112</v>
      </c>
    </row>
    <row r="29" customFormat="false" ht="15" hidden="false" customHeight="false" outlineLevel="0" collapsed="false">
      <c r="A29" s="9" t="s">
        <v>113</v>
      </c>
      <c r="B29" s="26" t="str">
        <f aca="false">IF(ABS(B15-'Lots et appels'!N25)&lt;0.01,"Conforme","Écart")</f>
        <v>Conforme</v>
      </c>
      <c r="C29" s="27"/>
    </row>
  </sheetData>
  <conditionalFormatting sqref="B27:B29">
    <cfRule type="expression" priority="2" aboveAverage="0" equalAverage="0" bottom="0" percent="0" rank="0" text="" dxfId="0">
      <formula>AND(B27&lt;&gt;"Conforme",B27&lt;&gt;"Oui")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2026-10-15T08:06:56Z</dcterms:created>
  <dc:creator>CAP IMMO</dc:creator>
  <dc:description/>
  <dc:language>fr-FR</dc:language>
  <cp:lastModifiedBy/>
  <dcterms:modified xsi:type="dcterms:W3CDTF">2026-10-15T08:06:56Z</dcterms:modified>
  <cp:revision>0</cp:revision>
  <dc:subject>Appels de fonds par lot et par jalon, plafonds R261-14 et vente en bloc — données d'exemple fictives</dc:subject>
  <dc:title>Modèle d'échéancier VEFA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