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Hypothèses" sheetId="1" state="visible" r:id="rId3"/>
    <sheet name="Bilan" sheetId="2" state="visible" r:id="rId4"/>
    <sheet name="Grille de lots" sheetId="3" state="visible" r:id="rId5"/>
    <sheet name="Échéancier VEFA" sheetId="4" state="visible" r:id="rId6"/>
  </sheets>
  <definedNames>
    <definedName function="false" hidden="false" name="ALEAS" vbProcedure="false">Hypothèses!$B$20</definedName>
    <definedName function="false" hidden="false" name="BET" vbProcedure="false">Hypothèses!$B$23</definedName>
    <definedName function="false" hidden="false" name="CA_HT" vbProcedure="false">'Grille de lots'!$H$17</definedName>
    <definedName function="false" hidden="false" name="CA_TTC" vbProcedure="false">'Grille de lots'!$G$17</definedName>
    <definedName function="false" hidden="false" name="COMMERCIALISATION" vbProcedure="false">Hypothèses!$B$37</definedName>
    <definedName function="false" hidden="false" name="COUT_M2" vbProcedure="false">Hypothèses!$B$18</definedName>
    <definedName function="false" hidden="false" name="CREDIT_MOYEN" vbProcedure="false">Hypothèses!$B$29</definedName>
    <definedName function="false" hidden="false" name="CT_SPS" vbProcedure="false">Hypothèses!$B$24</definedName>
    <definedName function="false" hidden="false" name="DO" vbProcedure="false">Hypothèses!$B$26</definedName>
    <definedName function="false" hidden="false" name="DUREE_CREDIT" vbProcedure="false">Hypothèses!$B$31</definedName>
    <definedName function="false" hidden="false" name="FRAIS_ACQ" vbProcedure="false">Hypothèses!$B$14</definedName>
    <definedName function="false" hidden="false" name="FRAIS_DOSSIER" vbProcedure="false">Hypothèses!$B$32</definedName>
    <definedName function="false" hidden="false" name="GESTION" vbProcedure="false">Hypothèses!$B$39</definedName>
    <definedName function="false" hidden="false" name="GFA_DUREE" vbProcedure="false">Hypothèses!$B$35</definedName>
    <definedName function="false" hidden="false" name="GFA_MONTANT" vbProcedure="false">Hypothèses!$B$33</definedName>
    <definedName function="false" hidden="false" name="GFA_TAUX" vbProcedure="false">Hypothèses!$B$34</definedName>
    <definedName function="false" hidden="false" name="MARGE_HT" vbProcedure="false">Bilan!$C$43</definedName>
    <definedName function="false" hidden="false" name="MARGE_VISEE" vbProcedure="false">Hypothèses!$B$41</definedName>
    <definedName function="false" hidden="false" name="MOE" vbProcedure="false">Hypothèses!$B$22</definedName>
    <definedName function="false" hidden="false" name="NOM_OPERATION" vbProcedure="false">Hypothèses!$B$6</definedName>
    <definedName function="false" hidden="false" name="PRIX_REVIENT" vbProcedure="false">Bilan!$C$42</definedName>
    <definedName function="false" hidden="false" name="PRIX_TERRAIN" vbProcedure="false">Hypothèses!$B$13</definedName>
    <definedName function="false" hidden="false" name="PUBLICITE" vbProcedure="false">Hypothèses!$B$38</definedName>
    <definedName function="false" hidden="false" name="RAP" vbProcedure="false">Hypothèses!$B$16</definedName>
    <definedName function="false" hidden="false" name="SDP" vbProcedure="false">Hypothèses!$B$8</definedName>
    <definedName function="false" hidden="false" name="SHAB" vbProcedure="false">Hypothèses!$B$9</definedName>
    <definedName function="false" hidden="false" name="TAUX_CREDIT" vbProcedure="false">Hypothèses!$B$30</definedName>
    <definedName function="false" hidden="false" name="TAXE_AMENAGEMENT" vbProcedure="false">Hypothèses!$B$15</definedName>
    <definedName function="false" hidden="false" name="TRC_CNR" vbProcedure="false">Hypothèses!$B$27</definedName>
    <definedName function="false" hidden="false" name="TVA" vbProcedure="false">Hypothèses!$B$11</definedName>
    <definedName function="false" hidden="false" name="VRD" vbProcedure="false">Hypothèses!$B$19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<sst xmlns="http://schemas.openxmlformats.org/spreadsheetml/2006/main" count="240" uniqueCount="180">
  <si>
    <t xml:space="preserve">Bilan promoteur — hypothèses</t>
  </si>
  <si>
    <t xml:space="preserve">Modèle gratuit CAP IMMO · données d'exemple fictives, à remplacer · cellules jaunes = saisie · tous les montants en euros</t>
  </si>
  <si>
    <t xml:space="preserve">Hypothèse</t>
  </si>
  <si>
    <t xml:space="preserve">Valeur</t>
  </si>
  <si>
    <t xml:space="preserve">Unité et précision</t>
  </si>
  <si>
    <t xml:space="preserve">Programme</t>
  </si>
  <si>
    <t xml:space="preserve">Nom de l'opération</t>
  </si>
  <si>
    <t xml:space="preserve">Résidence Les Oliviers</t>
  </si>
  <si>
    <t xml:space="preserve">Exemple fictif</t>
  </si>
  <si>
    <t xml:space="preserve">Localisation</t>
  </si>
  <si>
    <t xml:space="preserve">Côte d'Azur</t>
  </si>
  <si>
    <t xml:space="preserve">Surface de plancher (SDP)</t>
  </si>
  <si>
    <t xml:space="preserve">Surface du permis de construire</t>
  </si>
  <si>
    <t xml:space="preserve">Surface habitable vendable (SHAB)</t>
  </si>
  <si>
    <t xml:space="preserve">Calculée : total de la grille de lots</t>
  </si>
  <si>
    <t xml:space="preserve">Rendement SHAB / SDP</t>
  </si>
  <si>
    <t xml:space="preserve">Calculé</t>
  </si>
  <si>
    <t xml:space="preserve">Taux de TVA des ventes</t>
  </si>
  <si>
    <t xml:space="preserve">20 % en règle générale ; taux réduits sous conditions</t>
  </si>
  <si>
    <t xml:space="preserve">Foncier</t>
  </si>
  <si>
    <t xml:space="preserve">Prix du terrain</t>
  </si>
  <si>
    <t xml:space="preserve">Prix net vendeur</t>
  </si>
  <si>
    <t xml:space="preserve">Frais d'acquisition</t>
  </si>
  <si>
    <t xml:space="preserve">En % du prix du terrain : à faire chiffrer par le notaire</t>
  </si>
  <si>
    <t xml:space="preserve">Taxe d'aménagement estimée</t>
  </si>
  <si>
    <t xml:space="preserve">Surface taxable × valeur forfaitaire de l'année × taux locaux</t>
  </si>
  <si>
    <t xml:space="preserve">Redevance d'archéologie préventive estimée</t>
  </si>
  <si>
    <t xml:space="preserve">Même assiette que la taxe d'aménagement</t>
  </si>
  <si>
    <t xml:space="preserve">Travaux</t>
  </si>
  <si>
    <t xml:space="preserve">Coût de construction HT au m² de SDP</t>
  </si>
  <si>
    <t xml:space="preserve">Hypothèse d'exemple</t>
  </si>
  <si>
    <t xml:space="preserve">VRD et aménagements extérieurs</t>
  </si>
  <si>
    <t xml:space="preserve">Montant HT</t>
  </si>
  <si>
    <t xml:space="preserve">Aléas et imprévus</t>
  </si>
  <si>
    <t xml:space="preserve">En % de la construction et des VRD</t>
  </si>
  <si>
    <t xml:space="preserve">Honoraires techniques</t>
  </si>
  <si>
    <t xml:space="preserve">Architecte et maîtrise d'œuvre</t>
  </si>
  <si>
    <t xml:space="preserve">Bureaux d'études techniques</t>
  </si>
  <si>
    <t xml:space="preserve">Contrôle technique, coordination SPS, géomètre</t>
  </si>
  <si>
    <t xml:space="preserve">Assurances</t>
  </si>
  <si>
    <t xml:space="preserve">Dommages-ouvrage</t>
  </si>
  <si>
    <t xml:space="preserve">En % de la construction et des VRD : selon l'offre de l'assureur</t>
  </si>
  <si>
    <t xml:space="preserve">Tous risques chantier et constructeur non réalisateur</t>
  </si>
  <si>
    <t xml:space="preserve">Financement</t>
  </si>
  <si>
    <t xml:space="preserve">Encours moyen du crédit d'accompagnement</t>
  </si>
  <si>
    <t xml:space="preserve">Moyenne sur la durée : à tirer du plan de trésorerie</t>
  </si>
  <si>
    <t xml:space="preserve">Taux annuel du crédit</t>
  </si>
  <si>
    <t xml:space="preserve">Hypothèse d'exemple : selon l'offre de la banque</t>
  </si>
  <si>
    <t xml:space="preserve">Durée du crédit</t>
  </si>
  <si>
    <t xml:space="preserve">En mois</t>
  </si>
  <si>
    <t xml:space="preserve">Frais de dossier bancaires</t>
  </si>
  <si>
    <t xml:space="preserve">Montant</t>
  </si>
  <si>
    <t xml:space="preserve">Montant garanti par la GFA</t>
  </si>
  <si>
    <t xml:space="preserve">Selon la convention de garantie financière d'achèvement</t>
  </si>
  <si>
    <t xml:space="preserve">Commission annuelle de GFA</t>
  </si>
  <si>
    <t xml:space="preserve">Hypothèse d'exemple : selon l'offre du garant</t>
  </si>
  <si>
    <t xml:space="preserve">Durée de la GFA</t>
  </si>
  <si>
    <t xml:space="preserve">Commercialisation et gestion</t>
  </si>
  <si>
    <t xml:space="preserve">Honoraires de commercialisation</t>
  </si>
  <si>
    <t xml:space="preserve">En % du chiffre d'affaires HT</t>
  </si>
  <si>
    <t xml:space="preserve">Publicité, bureau de vente, documents</t>
  </si>
  <si>
    <t xml:space="preserve">Frais de gestion et de structure</t>
  </si>
  <si>
    <t xml:space="preserve">Objectif</t>
  </si>
  <si>
    <t xml:space="preserve">Marge visée</t>
  </si>
  <si>
    <t xml:space="preserve">En % du chiffre d'affaires HT : sert au compte à rebours foncier</t>
  </si>
  <si>
    <t xml:space="preserve">Bilan promoteur</t>
  </si>
  <si>
    <t xml:space="preserve">Calculé à partir des onglets Hypothèses et Grille de lots · montants hors taxes · aucune saisie sur cet onglet</t>
  </si>
  <si>
    <t xml:space="preserve">Poste</t>
  </si>
  <si>
    <t xml:space="preserve">Base de calcul</t>
  </si>
  <si>
    <t xml:space="preserve">% du CA HT</t>
  </si>
  <si>
    <t xml:space="preserve">Recettes</t>
  </si>
  <si>
    <t xml:space="preserve">Chiffre d'affaires TTC</t>
  </si>
  <si>
    <t xml:space="preserve">Total de la grille de lots</t>
  </si>
  <si>
    <t xml:space="preserve">TVA collectée sur les ventes</t>
  </si>
  <si>
    <t xml:space="preserve">Prix TTC − prix HT</t>
  </si>
  <si>
    <t xml:space="preserve">Chiffre d'affaires HT</t>
  </si>
  <si>
    <t xml:space="preserve">Total HT de la grille de lots</t>
  </si>
  <si>
    <t xml:space="preserve">Hypothèses</t>
  </si>
  <si>
    <t xml:space="preserve">% du prix du terrain</t>
  </si>
  <si>
    <t xml:space="preserve">Taxe d'aménagement</t>
  </si>
  <si>
    <t xml:space="preserve">Estimation</t>
  </si>
  <si>
    <t xml:space="preserve">Redevance d'archéologie préventive</t>
  </si>
  <si>
    <t xml:space="preserve">Total foncier</t>
  </si>
  <si>
    <t xml:space="preserve">Construction</t>
  </si>
  <si>
    <t xml:space="preserve">SDP × coût au m²</t>
  </si>
  <si>
    <t xml:space="preserve">% construction et VRD</t>
  </si>
  <si>
    <t xml:space="preserve">Total travaux</t>
  </si>
  <si>
    <t xml:space="preserve">Contrôle technique, SPS, géomètre</t>
  </si>
  <si>
    <t xml:space="preserve">Total honoraires</t>
  </si>
  <si>
    <t xml:space="preserve">Tous risques chantier, constructeur non réalisateur</t>
  </si>
  <si>
    <t xml:space="preserve">Total assurances</t>
  </si>
  <si>
    <t xml:space="preserve">Frais financiers</t>
  </si>
  <si>
    <t xml:space="preserve">Intérêts du crédit d'accompagnement</t>
  </si>
  <si>
    <t xml:space="preserve">Encours moyen × taux × durée</t>
  </si>
  <si>
    <t xml:space="preserve">Frais de dossier</t>
  </si>
  <si>
    <t xml:space="preserve">Garantie financière d'achèvement</t>
  </si>
  <si>
    <t xml:space="preserve">Montant garanti × commission × durée</t>
  </si>
  <si>
    <t xml:space="preserve">Total frais financiers</t>
  </si>
  <si>
    <t xml:space="preserve">Commercialisation</t>
  </si>
  <si>
    <t xml:space="preserve">Total commercialisation</t>
  </si>
  <si>
    <t xml:space="preserve">Gestion</t>
  </si>
  <si>
    <t xml:space="preserve">Total gestion</t>
  </si>
  <si>
    <t xml:space="preserve">Prix de revient total HT</t>
  </si>
  <si>
    <t xml:space="preserve">Somme des totaux</t>
  </si>
  <si>
    <t xml:space="preserve">Marge HT</t>
  </si>
  <si>
    <t xml:space="preserve">CA HT − prix de revient</t>
  </si>
  <si>
    <t xml:space="preserve">Marge en % du prix de revient</t>
  </si>
  <si>
    <t xml:space="preserve">Marge ÷ prix de revient</t>
  </si>
  <si>
    <t xml:space="preserve">Compte à rebours foncier</t>
  </si>
  <si>
    <t xml:space="preserve">Charge foncière admissible, frais et taxes compris</t>
  </si>
  <si>
    <t xml:space="preserve">CA HT − autres coûts − marge visée</t>
  </si>
  <si>
    <t xml:space="preserve">Prix maximum du terrain pour la marge visée</t>
  </si>
  <si>
    <t xml:space="preserve">(charge foncière − taxes) ÷ (1 + frais)</t>
  </si>
  <si>
    <t xml:space="preserve">Incidence foncière admissible</t>
  </si>
  <si>
    <t xml:space="preserve">Charge foncière ÷ SDP</t>
  </si>
  <si>
    <t xml:space="preserve">Écart avec le prix du terrain saisi</t>
  </si>
  <si>
    <t xml:space="preserve">Positif : le terrain est sous le maximum</t>
  </si>
  <si>
    <t xml:space="preserve">Exemple fictif : les hypothèses ne décrivent aucun marché réel. Les règles fiscales et les frais se valident avec le notaire et l'expert-comptable.</t>
  </si>
  <si>
    <t xml:space="preserve">Grille de lots</t>
  </si>
  <si>
    <t xml:space="preserve">12 lots d'exemple, prix fictifs · cellules jaunes = saisie · le prix HT et le prix au m² se calculent</t>
  </si>
  <si>
    <t xml:space="preserve">Lot</t>
  </si>
  <si>
    <t xml:space="preserve">Typologie</t>
  </si>
  <si>
    <t xml:space="preserve">Étage</t>
  </si>
  <si>
    <t xml:space="preserve">SHAB</t>
  </si>
  <si>
    <t xml:space="preserve">Extérieur</t>
  </si>
  <si>
    <t xml:space="preserve">Parkings</t>
  </si>
  <si>
    <t xml:space="preserve">Prix TTC</t>
  </si>
  <si>
    <t xml:space="preserve">Prix HT</t>
  </si>
  <si>
    <t xml:space="preserve">Prix TTC au m² SHAB</t>
  </si>
  <si>
    <t xml:space="preserve">Statut</t>
  </si>
  <si>
    <t xml:space="preserve">Date de l'acte</t>
  </si>
  <si>
    <t xml:space="preserve">A01</t>
  </si>
  <si>
    <t xml:space="preserve">T2</t>
  </si>
  <si>
    <t xml:space="preserve">RDC</t>
  </si>
  <si>
    <t xml:space="preserve">Acte signé</t>
  </si>
  <si>
    <t xml:space="preserve">A02</t>
  </si>
  <si>
    <t xml:space="preserve">T3</t>
  </si>
  <si>
    <t xml:space="preserve">A03</t>
  </si>
  <si>
    <t xml:space="preserve">1er</t>
  </si>
  <si>
    <t xml:space="preserve">A04</t>
  </si>
  <si>
    <t xml:space="preserve">Réservé</t>
  </si>
  <si>
    <t xml:space="preserve">A05</t>
  </si>
  <si>
    <t xml:space="preserve">T4</t>
  </si>
  <si>
    <t xml:space="preserve">A06</t>
  </si>
  <si>
    <t xml:space="preserve">2e</t>
  </si>
  <si>
    <t xml:space="preserve">Disponible</t>
  </si>
  <si>
    <t xml:space="preserve">A07</t>
  </si>
  <si>
    <t xml:space="preserve">A08</t>
  </si>
  <si>
    <t xml:space="preserve">A09</t>
  </si>
  <si>
    <t xml:space="preserve">3e</t>
  </si>
  <si>
    <t xml:space="preserve">A10</t>
  </si>
  <si>
    <t xml:space="preserve">A11</t>
  </si>
  <si>
    <t xml:space="preserve">4e, attique</t>
  </si>
  <si>
    <t xml:space="preserve">A12</t>
  </si>
  <si>
    <t xml:space="preserve">T5</t>
  </si>
  <si>
    <t xml:space="preserve">Total programme</t>
  </si>
  <si>
    <t xml:space="preserve">Chiffre d'affaires signé (actes), TTC</t>
  </si>
  <si>
    <t xml:space="preserve">Taux de commercialisation (actes et réservations, en % du CA TTC)</t>
  </si>
  <si>
    <t xml:space="preserve">Échéancier VEFA</t>
  </si>
  <si>
    <t xml:space="preserve">Plafonds cumulés de l'article R261-14 du CCH (logements) · cellules jaunes = saisie</t>
  </si>
  <si>
    <t xml:space="preserve">Prix TTC du lot</t>
  </si>
  <si>
    <t xml:space="preserve">Étape du chantier</t>
  </si>
  <si>
    <t xml:space="preserve">Cumul contractuel</t>
  </si>
  <si>
    <t xml:space="preserve">Plafond légal cumulé</t>
  </si>
  <si>
    <t xml:space="preserve">Contrôle</t>
  </si>
  <si>
    <t xml:space="preserve">Cumul appelé (lot)</t>
  </si>
  <si>
    <t xml:space="preserve">Montant de l'étape (lot)</t>
  </si>
  <si>
    <t xml:space="preserve">Cumul appelé (programme)</t>
  </si>
  <si>
    <t xml:space="preserve">Date prévisionnelle</t>
  </si>
  <si>
    <t xml:space="preserve">Achèvement des fondations</t>
  </si>
  <si>
    <t xml:space="preserve">Plancher haut du rez-de-chaussée</t>
  </si>
  <si>
    <t xml:space="preserve">Mise hors d'eau</t>
  </si>
  <si>
    <t xml:space="preserve">Cloisons et menuiseries extérieures</t>
  </si>
  <si>
    <t xml:space="preserve">Achèvement de l'immeuble</t>
  </si>
  <si>
    <t xml:space="preserve">Mise à disposition, remise des clés</t>
  </si>
  <si>
    <t xml:space="preserve">Total de l'échéancier du lot</t>
  </si>
  <si>
    <t xml:space="preserve">Les plafonds sont des totaux cumulés à ne pas dépasser : 35 % à l'achèvement des fondations, 70 % à la mise hors d'eau, 95 % à l'achèvement ; solde à la mise à disposition.</t>
  </si>
  <si>
    <t xml:space="preserve">Une étape intermédiaire ne doit pas dépasser le plafond de l'étape légale qui la suit. Le solde peut être consigné en cas de contestation sur la conformité.</t>
  </si>
  <si>
    <t xml:space="preserve">Un acte signé après une étape rend exigibles d'un coup les étapes déjà atteintes ; le dépôt de garantie versé à la réservation s'impute sur le prix.</t>
  </si>
  <si>
    <t xml:space="preserve">L'échéancier qui fait foi est celui de l'acte de vente, rédigé par le notaire.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</si>
</sst>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&quot; m²&quot;"/>
    <numFmt numFmtId="166" formatCode="0.0\ %"/>
    <numFmt numFmtId="167" formatCode="#,##0&quot; €&quot;;\-#,##0&quot; €&quot;;\–"/>
    <numFmt numFmtId="168" formatCode="#,##0&quot; €/m²&quot;"/>
    <numFmt numFmtId="169" formatCode="0&quot; mois&quot;"/>
    <numFmt numFmtId="170" formatCode="0"/>
    <numFmt numFmtId="171" formatCode="dd/mm/yyyy"/>
    <numFmt numFmtId="172" formatCode="#,##0.00&quot; €&quot;;\-#,##0.00&quot; €&quot;;\–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1228"/>
      <name val="Calibri"/>
      <family val="0"/>
      <charset val="1"/>
    </font>
    <font>
      <i val="true"/>
      <sz val="10"/>
      <color rgb="FF556078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color rgb="FF0A1228"/>
      <name val="Calibri"/>
      <family val="0"/>
      <charset val="1"/>
    </font>
    <font>
      <sz val="11"/>
      <name val="Calibri"/>
      <family val="0"/>
      <charset val="1"/>
    </font>
    <font>
      <sz val="11"/>
      <color rgb="FF1F4FBF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2"/>
      <color rgb="FF0A1228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A1228"/>
        <bgColor rgb="FF000000"/>
      </patternFill>
    </fill>
    <fill>
      <patternFill patternType="solid">
        <fgColor rgb="FFE8EDF8"/>
        <bgColor rgb="FFD9E2F5"/>
      </patternFill>
    </fill>
    <fill>
      <patternFill patternType="solid">
        <fgColor rgb="FFFFF8DC"/>
        <bgColor rgb="FFFFFFFF"/>
      </patternFill>
    </fill>
    <fill>
      <patternFill patternType="solid">
        <fgColor rgb="FFD9E2F5"/>
        <bgColor rgb="FFE8EDF8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D0DE"/>
      </bottom>
      <diagonal/>
    </border>
    <border diagonalUp="false" diagonalDown="false">
      <left/>
      <right/>
      <top style="medium">
        <color rgb="FF0A1228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5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5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0" fillId="5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5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C"/>
      <rgbColor rgb="FFE8EDF8"/>
      <rgbColor rgb="FF660066"/>
      <rgbColor rgb="FFFF8080"/>
      <rgbColor rgb="FF1F4FBF"/>
      <rgbColor rgb="FFC9D0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2F5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6078"/>
      <rgbColor rgb="FF969696"/>
      <rgbColor rgb="FF003366"/>
      <rgbColor rgb="FF339966"/>
      <rgbColor rgb="FF0A1228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8"/>
    <col collapsed="false" customWidth="true" hidden="false" outlineLevel="0" max="3" min="3" style="0" width="62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4" t="s">
        <v>3</v>
      </c>
      <c r="C4" s="4" t="s">
        <v>4</v>
      </c>
    </row>
    <row r="5" customFormat="false" ht="15" hidden="false" customHeight="false" outlineLevel="0" collapsed="false">
      <c r="A5" s="5" t="s">
        <v>5</v>
      </c>
      <c r="B5" s="6"/>
      <c r="C5" s="6"/>
    </row>
    <row r="6" customFormat="false" ht="15" hidden="false" customHeight="false" outlineLevel="0" collapsed="false">
      <c r="A6" s="7" t="s">
        <v>6</v>
      </c>
      <c r="B6" s="8" t="s">
        <v>7</v>
      </c>
      <c r="C6" s="9" t="s">
        <v>8</v>
      </c>
    </row>
    <row r="7" customFormat="false" ht="15" hidden="false" customHeight="false" outlineLevel="0" collapsed="false">
      <c r="A7" s="7" t="s">
        <v>9</v>
      </c>
      <c r="B7" s="8" t="s">
        <v>10</v>
      </c>
      <c r="C7" s="9" t="s">
        <v>8</v>
      </c>
    </row>
    <row r="8" customFormat="false" ht="15" hidden="false" customHeight="false" outlineLevel="0" collapsed="false">
      <c r="A8" s="7" t="s">
        <v>11</v>
      </c>
      <c r="B8" s="10" t="n">
        <v>950</v>
      </c>
      <c r="C8" s="9" t="s">
        <v>12</v>
      </c>
    </row>
    <row r="9" customFormat="false" ht="15" hidden="false" customHeight="false" outlineLevel="0" collapsed="false">
      <c r="A9" s="7" t="s">
        <v>13</v>
      </c>
      <c r="B9" s="11" t="n">
        <f aca="false">'Grille de lots'!D17</f>
        <v>852</v>
      </c>
      <c r="C9" s="9" t="s">
        <v>14</v>
      </c>
    </row>
    <row r="10" customFormat="false" ht="15" hidden="false" customHeight="false" outlineLevel="0" collapsed="false">
      <c r="A10" s="7" t="s">
        <v>15</v>
      </c>
      <c r="B10" s="12" t="n">
        <f aca="false">SHAB/SDP</f>
        <v>0.896842105263158</v>
      </c>
      <c r="C10" s="9" t="s">
        <v>16</v>
      </c>
    </row>
    <row r="11" customFormat="false" ht="15" hidden="false" customHeight="false" outlineLevel="0" collapsed="false">
      <c r="A11" s="7" t="s">
        <v>17</v>
      </c>
      <c r="B11" s="13" t="n">
        <v>0.2</v>
      </c>
      <c r="C11" s="9" t="s">
        <v>18</v>
      </c>
    </row>
    <row r="12" customFormat="false" ht="15" hidden="false" customHeight="false" outlineLevel="0" collapsed="false">
      <c r="A12" s="5" t="s">
        <v>19</v>
      </c>
      <c r="B12" s="6"/>
      <c r="C12" s="6"/>
    </row>
    <row r="13" customFormat="false" ht="15" hidden="false" customHeight="false" outlineLevel="0" collapsed="false">
      <c r="A13" s="7" t="s">
        <v>20</v>
      </c>
      <c r="B13" s="14" t="n">
        <v>1450000</v>
      </c>
      <c r="C13" s="9" t="s">
        <v>21</v>
      </c>
    </row>
    <row r="14" customFormat="false" ht="15" hidden="false" customHeight="false" outlineLevel="0" collapsed="false">
      <c r="A14" s="7" t="s">
        <v>22</v>
      </c>
      <c r="B14" s="13" t="n">
        <v>0.03</v>
      </c>
      <c r="C14" s="9" t="s">
        <v>23</v>
      </c>
    </row>
    <row r="15" customFormat="false" ht="15" hidden="false" customHeight="false" outlineLevel="0" collapsed="false">
      <c r="A15" s="7" t="s">
        <v>24</v>
      </c>
      <c r="B15" s="14" t="n">
        <v>75000</v>
      </c>
      <c r="C15" s="9" t="s">
        <v>25</v>
      </c>
    </row>
    <row r="16" customFormat="false" ht="15" hidden="false" customHeight="false" outlineLevel="0" collapsed="false">
      <c r="A16" s="7" t="s">
        <v>26</v>
      </c>
      <c r="B16" s="14" t="n">
        <v>6000</v>
      </c>
      <c r="C16" s="9" t="s">
        <v>27</v>
      </c>
    </row>
    <row r="17" customFormat="false" ht="15" hidden="false" customHeight="false" outlineLevel="0" collapsed="false">
      <c r="A17" s="5" t="s">
        <v>28</v>
      </c>
      <c r="B17" s="6"/>
      <c r="C17" s="6"/>
    </row>
    <row r="18" customFormat="false" ht="15" hidden="false" customHeight="false" outlineLevel="0" collapsed="false">
      <c r="A18" s="7" t="s">
        <v>29</v>
      </c>
      <c r="B18" s="15" t="n">
        <v>2300</v>
      </c>
      <c r="C18" s="9" t="s">
        <v>30</v>
      </c>
    </row>
    <row r="19" customFormat="false" ht="15" hidden="false" customHeight="false" outlineLevel="0" collapsed="false">
      <c r="A19" s="7" t="s">
        <v>31</v>
      </c>
      <c r="B19" s="14" t="n">
        <v>120000</v>
      </c>
      <c r="C19" s="9" t="s">
        <v>32</v>
      </c>
    </row>
    <row r="20" customFormat="false" ht="15" hidden="false" customHeight="false" outlineLevel="0" collapsed="false">
      <c r="A20" s="7" t="s">
        <v>33</v>
      </c>
      <c r="B20" s="13" t="n">
        <v>0.04</v>
      </c>
      <c r="C20" s="9" t="s">
        <v>34</v>
      </c>
    </row>
    <row r="21" customFormat="false" ht="15" hidden="false" customHeight="false" outlineLevel="0" collapsed="false">
      <c r="A21" s="5" t="s">
        <v>35</v>
      </c>
      <c r="B21" s="6"/>
      <c r="C21" s="6"/>
    </row>
    <row r="22" customFormat="false" ht="15" hidden="false" customHeight="false" outlineLevel="0" collapsed="false">
      <c r="A22" s="7" t="s">
        <v>36</v>
      </c>
      <c r="B22" s="13" t="n">
        <v>0.08</v>
      </c>
      <c r="C22" s="9" t="s">
        <v>34</v>
      </c>
    </row>
    <row r="23" customFormat="false" ht="15" hidden="false" customHeight="false" outlineLevel="0" collapsed="false">
      <c r="A23" s="7" t="s">
        <v>37</v>
      </c>
      <c r="B23" s="13" t="n">
        <v>0.03</v>
      </c>
      <c r="C23" s="9" t="s">
        <v>34</v>
      </c>
    </row>
    <row r="24" customFormat="false" ht="15" hidden="false" customHeight="false" outlineLevel="0" collapsed="false">
      <c r="A24" s="7" t="s">
        <v>38</v>
      </c>
      <c r="B24" s="13" t="n">
        <v>0.015</v>
      </c>
      <c r="C24" s="9" t="s">
        <v>34</v>
      </c>
    </row>
    <row r="25" customFormat="false" ht="15" hidden="false" customHeight="false" outlineLevel="0" collapsed="false">
      <c r="A25" s="5" t="s">
        <v>39</v>
      </c>
      <c r="B25" s="6"/>
      <c r="C25" s="6"/>
    </row>
    <row r="26" customFormat="false" ht="15" hidden="false" customHeight="false" outlineLevel="0" collapsed="false">
      <c r="A26" s="7" t="s">
        <v>40</v>
      </c>
      <c r="B26" s="13" t="n">
        <v>0.018</v>
      </c>
      <c r="C26" s="9" t="s">
        <v>41</v>
      </c>
    </row>
    <row r="27" customFormat="false" ht="15" hidden="false" customHeight="false" outlineLevel="0" collapsed="false">
      <c r="A27" s="7" t="s">
        <v>42</v>
      </c>
      <c r="B27" s="13" t="n">
        <v>0.008</v>
      </c>
      <c r="C27" s="9" t="s">
        <v>41</v>
      </c>
    </row>
    <row r="28" customFormat="false" ht="15" hidden="false" customHeight="false" outlineLevel="0" collapsed="false">
      <c r="A28" s="5" t="s">
        <v>43</v>
      </c>
      <c r="B28" s="6"/>
      <c r="C28" s="6"/>
    </row>
    <row r="29" customFormat="false" ht="15" hidden="false" customHeight="false" outlineLevel="0" collapsed="false">
      <c r="A29" s="7" t="s">
        <v>44</v>
      </c>
      <c r="B29" s="14" t="n">
        <v>1200000</v>
      </c>
      <c r="C29" s="9" t="s">
        <v>45</v>
      </c>
    </row>
    <row r="30" customFormat="false" ht="15" hidden="false" customHeight="false" outlineLevel="0" collapsed="false">
      <c r="A30" s="7" t="s">
        <v>46</v>
      </c>
      <c r="B30" s="13" t="n">
        <v>0.05</v>
      </c>
      <c r="C30" s="9" t="s">
        <v>47</v>
      </c>
    </row>
    <row r="31" customFormat="false" ht="15" hidden="false" customHeight="false" outlineLevel="0" collapsed="false">
      <c r="A31" s="7" t="s">
        <v>48</v>
      </c>
      <c r="B31" s="16" t="n">
        <v>24</v>
      </c>
      <c r="C31" s="9" t="s">
        <v>49</v>
      </c>
    </row>
    <row r="32" customFormat="false" ht="15" hidden="false" customHeight="false" outlineLevel="0" collapsed="false">
      <c r="A32" s="7" t="s">
        <v>50</v>
      </c>
      <c r="B32" s="14" t="n">
        <v>12000</v>
      </c>
      <c r="C32" s="9" t="s">
        <v>51</v>
      </c>
    </row>
    <row r="33" customFormat="false" ht="15" hidden="false" customHeight="false" outlineLevel="0" collapsed="false">
      <c r="A33" s="7" t="s">
        <v>52</v>
      </c>
      <c r="B33" s="14" t="n">
        <v>3000000</v>
      </c>
      <c r="C33" s="9" t="s">
        <v>53</v>
      </c>
    </row>
    <row r="34" customFormat="false" ht="15" hidden="false" customHeight="false" outlineLevel="0" collapsed="false">
      <c r="A34" s="7" t="s">
        <v>54</v>
      </c>
      <c r="B34" s="13" t="n">
        <v>0.009</v>
      </c>
      <c r="C34" s="9" t="s">
        <v>55</v>
      </c>
    </row>
    <row r="35" customFormat="false" ht="15" hidden="false" customHeight="false" outlineLevel="0" collapsed="false">
      <c r="A35" s="7" t="s">
        <v>56</v>
      </c>
      <c r="B35" s="16" t="n">
        <v>24</v>
      </c>
      <c r="C35" s="9" t="s">
        <v>49</v>
      </c>
    </row>
    <row r="36" customFormat="false" ht="15" hidden="false" customHeight="false" outlineLevel="0" collapsed="false">
      <c r="A36" s="5" t="s">
        <v>57</v>
      </c>
      <c r="B36" s="6"/>
      <c r="C36" s="6"/>
    </row>
    <row r="37" customFormat="false" ht="15" hidden="false" customHeight="false" outlineLevel="0" collapsed="false">
      <c r="A37" s="7" t="s">
        <v>58</v>
      </c>
      <c r="B37" s="13" t="n">
        <v>0.04</v>
      </c>
      <c r="C37" s="9" t="s">
        <v>59</v>
      </c>
    </row>
    <row r="38" customFormat="false" ht="15" hidden="false" customHeight="false" outlineLevel="0" collapsed="false">
      <c r="A38" s="7" t="s">
        <v>60</v>
      </c>
      <c r="B38" s="14" t="n">
        <v>45000</v>
      </c>
      <c r="C38" s="9" t="s">
        <v>32</v>
      </c>
    </row>
    <row r="39" customFormat="false" ht="15" hidden="false" customHeight="false" outlineLevel="0" collapsed="false">
      <c r="A39" s="7" t="s">
        <v>61</v>
      </c>
      <c r="B39" s="13" t="n">
        <v>0.04</v>
      </c>
      <c r="C39" s="9" t="s">
        <v>59</v>
      </c>
    </row>
    <row r="40" customFormat="false" ht="15" hidden="false" customHeight="false" outlineLevel="0" collapsed="false">
      <c r="A40" s="5" t="s">
        <v>62</v>
      </c>
      <c r="B40" s="6"/>
      <c r="C40" s="6"/>
    </row>
    <row r="41" customFormat="false" ht="15" hidden="false" customHeight="false" outlineLevel="0" collapsed="false">
      <c r="A41" s="7" t="s">
        <v>63</v>
      </c>
      <c r="B41" s="13" t="n">
        <v>0.1</v>
      </c>
      <c r="C41" s="9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46"/>
    <col collapsed="false" customWidth="true" hidden="false" outlineLevel="0" max="3" min="3" style="0" width="17"/>
    <col collapsed="false" customWidth="true" hidden="false" outlineLevel="0" max="4" min="4" style="0" width="12"/>
  </cols>
  <sheetData>
    <row r="1" customFormat="false" ht="24" hidden="false" customHeight="true" outlineLevel="0" collapsed="false">
      <c r="A1" s="1" t="s">
        <v>65</v>
      </c>
    </row>
    <row r="2" customFormat="false" ht="15" hidden="false" customHeight="false" outlineLevel="0" collapsed="false">
      <c r="A2" s="2" t="s">
        <v>66</v>
      </c>
    </row>
    <row r="3" customFormat="false" ht="15" hidden="false" customHeight="false" outlineLevel="0" collapsed="false">
      <c r="A3" s="17" t="str">
        <f aca="false">NOM_OPERATION</f>
        <v>Résidence Les Oliviers</v>
      </c>
    </row>
    <row r="4" customFormat="false" ht="30" hidden="false" customHeight="true" outlineLevel="0" collapsed="false">
      <c r="A4" s="3" t="s">
        <v>67</v>
      </c>
      <c r="B4" s="4" t="s">
        <v>68</v>
      </c>
      <c r="C4" s="4" t="s">
        <v>32</v>
      </c>
      <c r="D4" s="4" t="s">
        <v>69</v>
      </c>
    </row>
    <row r="5" customFormat="false" ht="15" hidden="false" customHeight="false" outlineLevel="0" collapsed="false">
      <c r="A5" s="18" t="s">
        <v>70</v>
      </c>
      <c r="B5" s="19"/>
      <c r="C5" s="19"/>
      <c r="D5" s="19"/>
    </row>
    <row r="6" customFormat="false" ht="15" hidden="false" customHeight="false" outlineLevel="0" collapsed="false">
      <c r="A6" s="7" t="s">
        <v>71</v>
      </c>
      <c r="B6" s="9" t="s">
        <v>72</v>
      </c>
      <c r="C6" s="20" t="n">
        <f aca="false">CA_TTC</f>
        <v>6815000</v>
      </c>
      <c r="D6" s="21"/>
    </row>
    <row r="7" customFormat="false" ht="15" hidden="false" customHeight="false" outlineLevel="0" collapsed="false">
      <c r="A7" s="7" t="s">
        <v>73</v>
      </c>
      <c r="B7" s="9" t="s">
        <v>74</v>
      </c>
      <c r="C7" s="20" t="n">
        <f aca="false">CA_TTC-CA_HT</f>
        <v>1135833.33333333</v>
      </c>
      <c r="D7" s="21"/>
    </row>
    <row r="8" customFormat="false" ht="15" hidden="false" customHeight="false" outlineLevel="0" collapsed="false">
      <c r="A8" s="22" t="s">
        <v>75</v>
      </c>
      <c r="B8" s="23" t="s">
        <v>76</v>
      </c>
      <c r="C8" s="24" t="n">
        <f aca="false">CA_HT</f>
        <v>5679166.66666667</v>
      </c>
      <c r="D8" s="25" t="n">
        <f aca="false">IF($C$8&lt;&gt;0,C8/$C$8,0)</f>
        <v>1</v>
      </c>
    </row>
    <row r="9" customFormat="false" ht="15" hidden="false" customHeight="false" outlineLevel="0" collapsed="false">
      <c r="A9" s="18" t="s">
        <v>19</v>
      </c>
      <c r="B9" s="19"/>
      <c r="C9" s="19"/>
      <c r="D9" s="19"/>
    </row>
    <row r="10" customFormat="false" ht="15" hidden="false" customHeight="false" outlineLevel="0" collapsed="false">
      <c r="A10" s="7" t="s">
        <v>20</v>
      </c>
      <c r="B10" s="9" t="s">
        <v>77</v>
      </c>
      <c r="C10" s="20" t="n">
        <f aca="false">PRIX_TERRAIN</f>
        <v>1450000</v>
      </c>
      <c r="D10" s="26" t="n">
        <f aca="false">IF($C$8&lt;&gt;0,C10/$C$8,0)</f>
        <v>0.25531914893617</v>
      </c>
    </row>
    <row r="11" customFormat="false" ht="15" hidden="false" customHeight="false" outlineLevel="0" collapsed="false">
      <c r="A11" s="7" t="s">
        <v>22</v>
      </c>
      <c r="B11" s="9" t="s">
        <v>78</v>
      </c>
      <c r="C11" s="20" t="n">
        <f aca="false">PRIX_TERRAIN*FRAIS_ACQ</f>
        <v>43500</v>
      </c>
      <c r="D11" s="26" t="n">
        <f aca="false">IF($C$8&lt;&gt;0,C11/$C$8,0)</f>
        <v>0.00765957446808511</v>
      </c>
    </row>
    <row r="12" customFormat="false" ht="15" hidden="false" customHeight="false" outlineLevel="0" collapsed="false">
      <c r="A12" s="7" t="s">
        <v>79</v>
      </c>
      <c r="B12" s="9" t="s">
        <v>80</v>
      </c>
      <c r="C12" s="20" t="n">
        <f aca="false">TAXE_AMENAGEMENT</f>
        <v>75000</v>
      </c>
      <c r="D12" s="26" t="n">
        <f aca="false">IF($C$8&lt;&gt;0,C12/$C$8,0)</f>
        <v>0.0132061628760088</v>
      </c>
    </row>
    <row r="13" customFormat="false" ht="15" hidden="false" customHeight="false" outlineLevel="0" collapsed="false">
      <c r="A13" s="7" t="s">
        <v>81</v>
      </c>
      <c r="B13" s="9" t="s">
        <v>80</v>
      </c>
      <c r="C13" s="20" t="n">
        <f aca="false">RAP</f>
        <v>6000</v>
      </c>
      <c r="D13" s="26" t="n">
        <f aca="false">IF($C$8&lt;&gt;0,C13/$C$8,0)</f>
        <v>0.0010564930300807</v>
      </c>
    </row>
    <row r="14" customFormat="false" ht="15" hidden="false" customHeight="false" outlineLevel="0" collapsed="false">
      <c r="A14" s="27" t="s">
        <v>82</v>
      </c>
      <c r="B14" s="28"/>
      <c r="C14" s="29" t="n">
        <f aca="false">SUM(C10:C13)</f>
        <v>1574500</v>
      </c>
      <c r="D14" s="30" t="n">
        <f aca="false">IF($C$8&lt;&gt;0,C14/$C$8,0)</f>
        <v>0.277241379310345</v>
      </c>
    </row>
    <row r="15" customFormat="false" ht="15" hidden="false" customHeight="false" outlineLevel="0" collapsed="false">
      <c r="A15" s="18" t="s">
        <v>28</v>
      </c>
      <c r="B15" s="19"/>
      <c r="C15" s="19"/>
      <c r="D15" s="19"/>
    </row>
    <row r="16" customFormat="false" ht="15" hidden="false" customHeight="false" outlineLevel="0" collapsed="false">
      <c r="A16" s="7" t="s">
        <v>83</v>
      </c>
      <c r="B16" s="9" t="s">
        <v>84</v>
      </c>
      <c r="C16" s="20" t="n">
        <f aca="false">SDP*COUT_M2</f>
        <v>2185000</v>
      </c>
      <c r="D16" s="26" t="n">
        <f aca="false">IF($C$8&lt;&gt;0,C16/$C$8,0)</f>
        <v>0.384739545121056</v>
      </c>
    </row>
    <row r="17" customFormat="false" ht="15" hidden="false" customHeight="false" outlineLevel="0" collapsed="false">
      <c r="A17" s="7" t="s">
        <v>31</v>
      </c>
      <c r="B17" s="9" t="s">
        <v>77</v>
      </c>
      <c r="C17" s="20" t="n">
        <f aca="false">VRD</f>
        <v>120000</v>
      </c>
      <c r="D17" s="26" t="n">
        <f aca="false">IF($C$8&lt;&gt;0,C17/$C$8,0)</f>
        <v>0.0211298606016141</v>
      </c>
    </row>
    <row r="18" customFormat="false" ht="15" hidden="false" customHeight="false" outlineLevel="0" collapsed="false">
      <c r="A18" s="7" t="s">
        <v>33</v>
      </c>
      <c r="B18" s="9" t="s">
        <v>85</v>
      </c>
      <c r="C18" s="20" t="n">
        <f aca="false">(SDP*COUT_M2+VRD)*ALEAS</f>
        <v>92200</v>
      </c>
      <c r="D18" s="26" t="n">
        <f aca="false">IF($C$8&lt;&gt;0,C18/$C$8,0)</f>
        <v>0.0162347762289068</v>
      </c>
    </row>
    <row r="19" customFormat="false" ht="15" hidden="false" customHeight="false" outlineLevel="0" collapsed="false">
      <c r="A19" s="27" t="s">
        <v>86</v>
      </c>
      <c r="B19" s="28"/>
      <c r="C19" s="29" t="n">
        <f aca="false">SUM(C16:C18)</f>
        <v>2397200</v>
      </c>
      <c r="D19" s="30" t="n">
        <f aca="false">IF($C$8&lt;&gt;0,C19/$C$8,0)</f>
        <v>0.422104181951577</v>
      </c>
    </row>
    <row r="20" customFormat="false" ht="15" hidden="false" customHeight="false" outlineLevel="0" collapsed="false">
      <c r="A20" s="18" t="s">
        <v>35</v>
      </c>
      <c r="B20" s="19"/>
      <c r="C20" s="19"/>
      <c r="D20" s="19"/>
    </row>
    <row r="21" customFormat="false" ht="15" hidden="false" customHeight="false" outlineLevel="0" collapsed="false">
      <c r="A21" s="7" t="s">
        <v>36</v>
      </c>
      <c r="B21" s="9" t="s">
        <v>85</v>
      </c>
      <c r="C21" s="20" t="n">
        <f aca="false">(SDP*COUT_M2+VRD)*MOE</f>
        <v>184400</v>
      </c>
      <c r="D21" s="26" t="n">
        <f aca="false">IF($C$8&lt;&gt;0,C21/$C$8,0)</f>
        <v>0.0324695524578137</v>
      </c>
    </row>
    <row r="22" customFormat="false" ht="15" hidden="false" customHeight="false" outlineLevel="0" collapsed="false">
      <c r="A22" s="7" t="s">
        <v>37</v>
      </c>
      <c r="B22" s="9" t="s">
        <v>85</v>
      </c>
      <c r="C22" s="20" t="n">
        <f aca="false">(SDP*COUT_M2+VRD)*BET</f>
        <v>69150</v>
      </c>
      <c r="D22" s="26" t="n">
        <f aca="false">IF($C$8&lt;&gt;0,C22/$C$8,0)</f>
        <v>0.0121760821716801</v>
      </c>
    </row>
    <row r="23" customFormat="false" ht="15" hidden="false" customHeight="false" outlineLevel="0" collapsed="false">
      <c r="A23" s="7" t="s">
        <v>87</v>
      </c>
      <c r="B23" s="9" t="s">
        <v>85</v>
      </c>
      <c r="C23" s="20" t="n">
        <f aca="false">(SDP*COUT_M2+VRD)*CT_SPS</f>
        <v>34575</v>
      </c>
      <c r="D23" s="26" t="n">
        <f aca="false">IF($C$8&lt;&gt;0,C23/$C$8,0)</f>
        <v>0.00608804108584006</v>
      </c>
    </row>
    <row r="24" customFormat="false" ht="15" hidden="false" customHeight="false" outlineLevel="0" collapsed="false">
      <c r="A24" s="27" t="s">
        <v>88</v>
      </c>
      <c r="B24" s="28"/>
      <c r="C24" s="29" t="n">
        <f aca="false">SUM(C21:C23)</f>
        <v>288125</v>
      </c>
      <c r="D24" s="30" t="n">
        <f aca="false">IF($C$8&lt;&gt;0,C24/$C$8,0)</f>
        <v>0.0507336757153338</v>
      </c>
    </row>
    <row r="25" customFormat="false" ht="15" hidden="false" customHeight="false" outlineLevel="0" collapsed="false">
      <c r="A25" s="18" t="s">
        <v>39</v>
      </c>
      <c r="B25" s="19"/>
      <c r="C25" s="19"/>
      <c r="D25" s="19"/>
    </row>
    <row r="26" customFormat="false" ht="15" hidden="false" customHeight="false" outlineLevel="0" collapsed="false">
      <c r="A26" s="7" t="s">
        <v>40</v>
      </c>
      <c r="B26" s="9" t="s">
        <v>85</v>
      </c>
      <c r="C26" s="20" t="n">
        <f aca="false">(SDP*COUT_M2+VRD)*DO</f>
        <v>41490</v>
      </c>
      <c r="D26" s="26" t="n">
        <f aca="false">IF($C$8&lt;&gt;0,C26/$C$8,0)</f>
        <v>0.00730564930300807</v>
      </c>
    </row>
    <row r="27" customFormat="false" ht="15" hidden="false" customHeight="false" outlineLevel="0" collapsed="false">
      <c r="A27" s="7" t="s">
        <v>89</v>
      </c>
      <c r="B27" s="9" t="s">
        <v>85</v>
      </c>
      <c r="C27" s="20" t="n">
        <f aca="false">(SDP*COUT_M2+VRD)*TRC_CNR</f>
        <v>18440</v>
      </c>
      <c r="D27" s="26" t="n">
        <f aca="false">IF($C$8&lt;&gt;0,C27/$C$8,0)</f>
        <v>0.00324695524578136</v>
      </c>
    </row>
    <row r="28" customFormat="false" ht="15" hidden="false" customHeight="false" outlineLevel="0" collapsed="false">
      <c r="A28" s="27" t="s">
        <v>90</v>
      </c>
      <c r="B28" s="28"/>
      <c r="C28" s="29" t="n">
        <f aca="false">SUM(C26:C27)</f>
        <v>59930</v>
      </c>
      <c r="D28" s="30" t="n">
        <f aca="false">IF($C$8&lt;&gt;0,C28/$C$8,0)</f>
        <v>0.0105526045487894</v>
      </c>
    </row>
    <row r="29" customFormat="false" ht="15" hidden="false" customHeight="false" outlineLevel="0" collapsed="false">
      <c r="A29" s="18" t="s">
        <v>91</v>
      </c>
      <c r="B29" s="19"/>
      <c r="C29" s="19"/>
      <c r="D29" s="19"/>
    </row>
    <row r="30" customFormat="false" ht="15" hidden="false" customHeight="false" outlineLevel="0" collapsed="false">
      <c r="A30" s="7" t="s">
        <v>92</v>
      </c>
      <c r="B30" s="9" t="s">
        <v>93</v>
      </c>
      <c r="C30" s="20" t="n">
        <f aca="false">CREDIT_MOYEN*TAUX_CREDIT*DUREE_CREDIT/12</f>
        <v>120000</v>
      </c>
      <c r="D30" s="26" t="n">
        <f aca="false">IF($C$8&lt;&gt;0,C30/$C$8,0)</f>
        <v>0.0211298606016141</v>
      </c>
    </row>
    <row r="31" customFormat="false" ht="15" hidden="false" customHeight="false" outlineLevel="0" collapsed="false">
      <c r="A31" s="7" t="s">
        <v>94</v>
      </c>
      <c r="B31" s="9" t="s">
        <v>77</v>
      </c>
      <c r="C31" s="20" t="n">
        <f aca="false">FRAIS_DOSSIER</f>
        <v>12000</v>
      </c>
      <c r="D31" s="26" t="n">
        <f aca="false">IF($C$8&lt;&gt;0,C31/$C$8,0)</f>
        <v>0.00211298606016141</v>
      </c>
    </row>
    <row r="32" customFormat="false" ht="15" hidden="false" customHeight="false" outlineLevel="0" collapsed="false">
      <c r="A32" s="7" t="s">
        <v>95</v>
      </c>
      <c r="B32" s="9" t="s">
        <v>96</v>
      </c>
      <c r="C32" s="20" t="n">
        <f aca="false">GFA_MONTANT*GFA_TAUX*GFA_DUREE/12</f>
        <v>54000</v>
      </c>
      <c r="D32" s="26" t="n">
        <f aca="false">IF($C$8&lt;&gt;0,C32/$C$8,0)</f>
        <v>0.00950843727072634</v>
      </c>
    </row>
    <row r="33" customFormat="false" ht="15" hidden="false" customHeight="false" outlineLevel="0" collapsed="false">
      <c r="A33" s="27" t="s">
        <v>97</v>
      </c>
      <c r="B33" s="28"/>
      <c r="C33" s="29" t="n">
        <f aca="false">SUM(C30:C32)</f>
        <v>186000</v>
      </c>
      <c r="D33" s="30" t="n">
        <f aca="false">IF($C$8&lt;&gt;0,C33/$C$8,0)</f>
        <v>0.0327512839325018</v>
      </c>
    </row>
    <row r="34" customFormat="false" ht="15" hidden="false" customHeight="false" outlineLevel="0" collapsed="false">
      <c r="A34" s="18" t="s">
        <v>98</v>
      </c>
      <c r="B34" s="19"/>
      <c r="C34" s="19"/>
      <c r="D34" s="19"/>
    </row>
    <row r="35" customFormat="false" ht="15" hidden="false" customHeight="false" outlineLevel="0" collapsed="false">
      <c r="A35" s="7" t="s">
        <v>58</v>
      </c>
      <c r="B35" s="9" t="s">
        <v>69</v>
      </c>
      <c r="C35" s="20" t="n">
        <f aca="false">CA_HT*COMMERCIALISATION</f>
        <v>227166.666666667</v>
      </c>
      <c r="D35" s="26" t="n">
        <f aca="false">IF($C$8&lt;&gt;0,C35/$C$8,0)</f>
        <v>0.04</v>
      </c>
    </row>
    <row r="36" customFormat="false" ht="15" hidden="false" customHeight="false" outlineLevel="0" collapsed="false">
      <c r="A36" s="7" t="s">
        <v>60</v>
      </c>
      <c r="B36" s="9" t="s">
        <v>77</v>
      </c>
      <c r="C36" s="20" t="n">
        <f aca="false">PUBLICITE</f>
        <v>45000</v>
      </c>
      <c r="D36" s="26" t="n">
        <f aca="false">IF($C$8&lt;&gt;0,C36/$C$8,0)</f>
        <v>0.00792369772560528</v>
      </c>
    </row>
    <row r="37" customFormat="false" ht="15" hidden="false" customHeight="false" outlineLevel="0" collapsed="false">
      <c r="A37" s="27" t="s">
        <v>99</v>
      </c>
      <c r="B37" s="28"/>
      <c r="C37" s="29" t="n">
        <f aca="false">SUM(C35:C36)</f>
        <v>272166.666666667</v>
      </c>
      <c r="D37" s="30" t="n">
        <f aca="false">IF($C$8&lt;&gt;0,C37/$C$8,0)</f>
        <v>0.0479236977256053</v>
      </c>
    </row>
    <row r="38" customFormat="false" ht="15" hidden="false" customHeight="false" outlineLevel="0" collapsed="false">
      <c r="A38" s="18" t="s">
        <v>100</v>
      </c>
      <c r="B38" s="19"/>
      <c r="C38" s="19"/>
      <c r="D38" s="19"/>
    </row>
    <row r="39" customFormat="false" ht="15" hidden="false" customHeight="false" outlineLevel="0" collapsed="false">
      <c r="A39" s="7" t="s">
        <v>61</v>
      </c>
      <c r="B39" s="9" t="s">
        <v>69</v>
      </c>
      <c r="C39" s="20" t="n">
        <f aca="false">CA_HT*GESTION</f>
        <v>227166.666666667</v>
      </c>
      <c r="D39" s="26" t="n">
        <f aca="false">IF($C$8&lt;&gt;0,C39/$C$8,0)</f>
        <v>0.04</v>
      </c>
    </row>
    <row r="40" customFormat="false" ht="15" hidden="false" customHeight="false" outlineLevel="0" collapsed="false">
      <c r="A40" s="27" t="s">
        <v>101</v>
      </c>
      <c r="B40" s="28"/>
      <c r="C40" s="29" t="n">
        <f aca="false">SUM(C39:C39)</f>
        <v>227166.666666667</v>
      </c>
      <c r="D40" s="30" t="n">
        <f aca="false">IF($C$8&lt;&gt;0,C40/$C$8,0)</f>
        <v>0.04</v>
      </c>
    </row>
    <row r="42" customFormat="false" ht="15" hidden="false" customHeight="false" outlineLevel="0" collapsed="false">
      <c r="A42" s="22" t="s">
        <v>102</v>
      </c>
      <c r="B42" s="31" t="s">
        <v>103</v>
      </c>
      <c r="C42" s="32" t="n">
        <f aca="false">C14+C19+C24+C28+C33+C37+C40</f>
        <v>5005088.33333333</v>
      </c>
      <c r="D42" s="33" t="n">
        <f aca="false">IF($C$8&lt;&gt;0,C42/$C$8,0)</f>
        <v>0.881306823184153</v>
      </c>
    </row>
    <row r="43" customFormat="false" ht="15" hidden="false" customHeight="false" outlineLevel="0" collapsed="false">
      <c r="A43" s="34" t="s">
        <v>104</v>
      </c>
      <c r="B43" s="31" t="s">
        <v>105</v>
      </c>
      <c r="C43" s="32" t="n">
        <f aca="false">C8-C42</f>
        <v>674078.333333333</v>
      </c>
      <c r="D43" s="33" t="n">
        <f aca="false">IF($C$8&lt;&gt;0,C43/$C$8,0)</f>
        <v>0.118693176815847</v>
      </c>
    </row>
    <row r="44" customFormat="false" ht="15" hidden="false" customHeight="false" outlineLevel="0" collapsed="false">
      <c r="A44" s="35" t="s">
        <v>106</v>
      </c>
      <c r="B44" s="31" t="s">
        <v>107</v>
      </c>
      <c r="C44" s="36"/>
      <c r="D44" s="33" t="n">
        <f aca="false">IF(C42&lt;&gt;0,C43/C42,0)</f>
        <v>0.134678608735843</v>
      </c>
    </row>
    <row r="46" customFormat="false" ht="15" hidden="false" customHeight="false" outlineLevel="0" collapsed="false">
      <c r="A46" s="18" t="s">
        <v>108</v>
      </c>
      <c r="B46" s="19"/>
      <c r="C46" s="19"/>
      <c r="D46" s="19"/>
    </row>
    <row r="47" customFormat="false" ht="15" hidden="false" customHeight="false" outlineLevel="0" collapsed="false">
      <c r="A47" s="37" t="s">
        <v>109</v>
      </c>
      <c r="B47" s="2" t="s">
        <v>110</v>
      </c>
      <c r="C47" s="38" t="n">
        <f aca="false">C8-(C42-C14)-C8*MARGE_VISEE</f>
        <v>1680661.66666667</v>
      </c>
    </row>
    <row r="48" customFormat="false" ht="15" hidden="false" customHeight="false" outlineLevel="0" collapsed="false">
      <c r="A48" s="39" t="s">
        <v>111</v>
      </c>
      <c r="B48" s="2" t="s">
        <v>112</v>
      </c>
      <c r="C48" s="40" t="n">
        <f aca="false">(C47-TAXE_AMENAGEMENT-RAP)/(1+FRAIS_ACQ)</f>
        <v>1553069.57928803</v>
      </c>
    </row>
    <row r="49" customFormat="false" ht="15" hidden="false" customHeight="false" outlineLevel="0" collapsed="false">
      <c r="A49" s="37" t="s">
        <v>113</v>
      </c>
      <c r="B49" s="2" t="s">
        <v>114</v>
      </c>
      <c r="C49" s="41" t="n">
        <f aca="false">IF(SDP&gt;0,C47/SDP,0)</f>
        <v>1769.11754385965</v>
      </c>
    </row>
    <row r="50" customFormat="false" ht="15" hidden="false" customHeight="false" outlineLevel="0" collapsed="false">
      <c r="A50" s="37" t="s">
        <v>115</v>
      </c>
      <c r="B50" s="2" t="s">
        <v>116</v>
      </c>
      <c r="C50" s="38" t="n">
        <f aca="false">C48-PRIX_TERRAIN</f>
        <v>103069.579288025</v>
      </c>
    </row>
    <row r="52" customFormat="false" ht="15" hidden="false" customHeight="false" outlineLevel="0" collapsed="false">
      <c r="A52" s="2" t="s">
        <v>117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1"/>
    <col collapsed="false" customWidth="true" hidden="false" outlineLevel="0" max="3" min="3" style="0" width="13"/>
    <col collapsed="false" customWidth="true" hidden="false" outlineLevel="0" max="4" min="4" style="0" width="10"/>
    <col collapsed="false" customWidth="true" hidden="false" outlineLevel="0" max="5" min="5" style="0" width="11"/>
    <col collapsed="false" customWidth="true" hidden="false" outlineLevel="0" max="6" min="6" style="0" width="10"/>
    <col collapsed="false" customWidth="true" hidden="false" outlineLevel="0" max="8" min="7" style="0" width="14"/>
    <col collapsed="false" customWidth="true" hidden="false" outlineLevel="0" max="9" min="9" style="0" width="13"/>
    <col collapsed="false" customWidth="true" hidden="false" outlineLevel="0" max="11" min="10" style="0" width="14"/>
  </cols>
  <sheetData>
    <row r="1" customFormat="false" ht="24" hidden="false" customHeight="true" outlineLevel="0" collapsed="false">
      <c r="A1" s="1" t="s">
        <v>118</v>
      </c>
    </row>
    <row r="2" customFormat="false" ht="15" hidden="false" customHeight="false" outlineLevel="0" collapsed="false">
      <c r="A2" s="2" t="s">
        <v>119</v>
      </c>
    </row>
    <row r="4" customFormat="false" ht="30" hidden="false" customHeight="true" outlineLevel="0" collapsed="false">
      <c r="A4" s="3" t="s">
        <v>120</v>
      </c>
      <c r="B4" s="4" t="s">
        <v>121</v>
      </c>
      <c r="C4" s="4" t="s">
        <v>122</v>
      </c>
      <c r="D4" s="4" t="s">
        <v>123</v>
      </c>
      <c r="E4" s="4" t="s">
        <v>124</v>
      </c>
      <c r="F4" s="4" t="s">
        <v>125</v>
      </c>
      <c r="G4" s="4" t="s">
        <v>126</v>
      </c>
      <c r="H4" s="4" t="s">
        <v>127</v>
      </c>
      <c r="I4" s="4" t="s">
        <v>128</v>
      </c>
      <c r="J4" s="4" t="s">
        <v>129</v>
      </c>
      <c r="K4" s="4" t="s">
        <v>130</v>
      </c>
    </row>
    <row r="5" customFormat="false" ht="15" hidden="false" customHeight="false" outlineLevel="0" collapsed="false">
      <c r="A5" s="42" t="s">
        <v>131</v>
      </c>
      <c r="B5" s="42" t="s">
        <v>132</v>
      </c>
      <c r="C5" s="42" t="s">
        <v>133</v>
      </c>
      <c r="D5" s="10" t="n">
        <v>45</v>
      </c>
      <c r="E5" s="10" t="n">
        <v>30</v>
      </c>
      <c r="F5" s="43" t="n">
        <v>1</v>
      </c>
      <c r="G5" s="14" t="n">
        <v>330000</v>
      </c>
      <c r="H5" s="44" t="n">
        <f aca="false">G5/(1+TVA)</f>
        <v>275000</v>
      </c>
      <c r="I5" s="45" t="n">
        <f aca="false">IF(D5&gt;0,G5/D5,0)</f>
        <v>7333.33333333333</v>
      </c>
      <c r="J5" s="42" t="s">
        <v>134</v>
      </c>
      <c r="K5" s="46" t="n">
        <v>46093</v>
      </c>
    </row>
    <row r="6" customFormat="false" ht="15" hidden="false" customHeight="false" outlineLevel="0" collapsed="false">
      <c r="A6" s="42" t="s">
        <v>135</v>
      </c>
      <c r="B6" s="42" t="s">
        <v>136</v>
      </c>
      <c r="C6" s="42" t="s">
        <v>133</v>
      </c>
      <c r="D6" s="10" t="n">
        <v>64</v>
      </c>
      <c r="E6" s="10" t="n">
        <v>45</v>
      </c>
      <c r="F6" s="43" t="n">
        <v>1</v>
      </c>
      <c r="G6" s="14" t="n">
        <v>465000</v>
      </c>
      <c r="H6" s="44" t="n">
        <f aca="false">G6/(1+TVA)</f>
        <v>387500</v>
      </c>
      <c r="I6" s="45" t="n">
        <f aca="false">IF(D6&gt;0,G6/D6,0)</f>
        <v>7265.625</v>
      </c>
      <c r="J6" s="42" t="s">
        <v>134</v>
      </c>
      <c r="K6" s="46" t="n">
        <v>46114</v>
      </c>
    </row>
    <row r="7" customFormat="false" ht="15" hidden="false" customHeight="false" outlineLevel="0" collapsed="false">
      <c r="A7" s="42" t="s">
        <v>137</v>
      </c>
      <c r="B7" s="42" t="s">
        <v>132</v>
      </c>
      <c r="C7" s="42" t="s">
        <v>138</v>
      </c>
      <c r="D7" s="10" t="n">
        <v>44</v>
      </c>
      <c r="E7" s="10" t="n">
        <v>9</v>
      </c>
      <c r="F7" s="43" t="n">
        <v>1</v>
      </c>
      <c r="G7" s="14" t="n">
        <v>335000</v>
      </c>
      <c r="H7" s="44" t="n">
        <f aca="false">G7/(1+TVA)</f>
        <v>279166.666666667</v>
      </c>
      <c r="I7" s="45" t="n">
        <f aca="false">IF(D7&gt;0,G7/D7,0)</f>
        <v>7613.63636363636</v>
      </c>
      <c r="J7" s="42" t="s">
        <v>134</v>
      </c>
      <c r="K7" s="46" t="n">
        <v>46132</v>
      </c>
    </row>
    <row r="8" customFormat="false" ht="15" hidden="false" customHeight="false" outlineLevel="0" collapsed="false">
      <c r="A8" s="42" t="s">
        <v>139</v>
      </c>
      <c r="B8" s="42" t="s">
        <v>136</v>
      </c>
      <c r="C8" s="42" t="s">
        <v>138</v>
      </c>
      <c r="D8" s="10" t="n">
        <v>66</v>
      </c>
      <c r="E8" s="10" t="n">
        <v>12</v>
      </c>
      <c r="F8" s="43" t="n">
        <v>1</v>
      </c>
      <c r="G8" s="14" t="n">
        <v>495000</v>
      </c>
      <c r="H8" s="44" t="n">
        <f aca="false">G8/(1+TVA)</f>
        <v>412500</v>
      </c>
      <c r="I8" s="45" t="n">
        <f aca="false">IF(D8&gt;0,G8/D8,0)</f>
        <v>7500</v>
      </c>
      <c r="J8" s="42" t="s">
        <v>140</v>
      </c>
      <c r="K8" s="46"/>
    </row>
    <row r="9" customFormat="false" ht="15" hidden="false" customHeight="false" outlineLevel="0" collapsed="false">
      <c r="A9" s="42" t="s">
        <v>141</v>
      </c>
      <c r="B9" s="42" t="s">
        <v>142</v>
      </c>
      <c r="C9" s="42" t="s">
        <v>138</v>
      </c>
      <c r="D9" s="10" t="n">
        <v>84</v>
      </c>
      <c r="E9" s="10" t="n">
        <v>16</v>
      </c>
      <c r="F9" s="43" t="n">
        <v>2</v>
      </c>
      <c r="G9" s="14" t="n">
        <v>650000</v>
      </c>
      <c r="H9" s="44" t="n">
        <f aca="false">G9/(1+TVA)</f>
        <v>541666.666666667</v>
      </c>
      <c r="I9" s="45" t="n">
        <f aca="false">IF(D9&gt;0,G9/D9,0)</f>
        <v>7738.09523809524</v>
      </c>
      <c r="J9" s="42" t="s">
        <v>134</v>
      </c>
      <c r="K9" s="46" t="n">
        <v>46148</v>
      </c>
    </row>
    <row r="10" customFormat="false" ht="15" hidden="false" customHeight="false" outlineLevel="0" collapsed="false">
      <c r="A10" s="42" t="s">
        <v>143</v>
      </c>
      <c r="B10" s="42" t="s">
        <v>132</v>
      </c>
      <c r="C10" s="42" t="s">
        <v>144</v>
      </c>
      <c r="D10" s="10" t="n">
        <v>45</v>
      </c>
      <c r="E10" s="10" t="n">
        <v>9</v>
      </c>
      <c r="F10" s="43" t="n">
        <v>1</v>
      </c>
      <c r="G10" s="14" t="n">
        <v>345000</v>
      </c>
      <c r="H10" s="44" t="n">
        <f aca="false">G10/(1+TVA)</f>
        <v>287500</v>
      </c>
      <c r="I10" s="45" t="n">
        <f aca="false">IF(D10&gt;0,G10/D10,0)</f>
        <v>7666.66666666667</v>
      </c>
      <c r="J10" s="42" t="s">
        <v>145</v>
      </c>
      <c r="K10" s="46"/>
    </row>
    <row r="11" customFormat="false" ht="15" hidden="false" customHeight="false" outlineLevel="0" collapsed="false">
      <c r="A11" s="42" t="s">
        <v>146</v>
      </c>
      <c r="B11" s="42" t="s">
        <v>136</v>
      </c>
      <c r="C11" s="42" t="s">
        <v>144</v>
      </c>
      <c r="D11" s="10" t="n">
        <v>66</v>
      </c>
      <c r="E11" s="10" t="n">
        <v>12</v>
      </c>
      <c r="F11" s="43" t="n">
        <v>1</v>
      </c>
      <c r="G11" s="14" t="n">
        <v>510000</v>
      </c>
      <c r="H11" s="44" t="n">
        <f aca="false">G11/(1+TVA)</f>
        <v>425000</v>
      </c>
      <c r="I11" s="45" t="n">
        <f aca="false">IF(D11&gt;0,G11/D11,0)</f>
        <v>7727.27272727273</v>
      </c>
      <c r="J11" s="42" t="s">
        <v>140</v>
      </c>
      <c r="K11" s="46"/>
    </row>
    <row r="12" customFormat="false" ht="15" hidden="false" customHeight="false" outlineLevel="0" collapsed="false">
      <c r="A12" s="42" t="s">
        <v>147</v>
      </c>
      <c r="B12" s="42" t="s">
        <v>142</v>
      </c>
      <c r="C12" s="42" t="s">
        <v>144</v>
      </c>
      <c r="D12" s="10" t="n">
        <v>85</v>
      </c>
      <c r="E12" s="10" t="n">
        <v>16</v>
      </c>
      <c r="F12" s="43" t="n">
        <v>2</v>
      </c>
      <c r="G12" s="14" t="n">
        <v>670000</v>
      </c>
      <c r="H12" s="44" t="n">
        <f aca="false">G12/(1+TVA)</f>
        <v>558333.333333333</v>
      </c>
      <c r="I12" s="45" t="n">
        <f aca="false">IF(D12&gt;0,G12/D12,0)</f>
        <v>7882.35294117647</v>
      </c>
      <c r="J12" s="42" t="s">
        <v>134</v>
      </c>
      <c r="K12" s="46" t="n">
        <v>46191</v>
      </c>
    </row>
    <row r="13" customFormat="false" ht="15" hidden="false" customHeight="false" outlineLevel="0" collapsed="false">
      <c r="A13" s="42" t="s">
        <v>148</v>
      </c>
      <c r="B13" s="42" t="s">
        <v>136</v>
      </c>
      <c r="C13" s="42" t="s">
        <v>149</v>
      </c>
      <c r="D13" s="10" t="n">
        <v>67</v>
      </c>
      <c r="E13" s="10" t="n">
        <v>14</v>
      </c>
      <c r="F13" s="43" t="n">
        <v>1</v>
      </c>
      <c r="G13" s="14" t="n">
        <v>530000</v>
      </c>
      <c r="H13" s="44" t="n">
        <f aca="false">G13/(1+TVA)</f>
        <v>441666.666666667</v>
      </c>
      <c r="I13" s="45" t="n">
        <f aca="false">IF(D13&gt;0,G13/D13,0)</f>
        <v>7910.44776119403</v>
      </c>
      <c r="J13" s="42" t="s">
        <v>145</v>
      </c>
      <c r="K13" s="46"/>
    </row>
    <row r="14" customFormat="false" ht="15" hidden="false" customHeight="false" outlineLevel="0" collapsed="false">
      <c r="A14" s="42" t="s">
        <v>150</v>
      </c>
      <c r="B14" s="42" t="s">
        <v>142</v>
      </c>
      <c r="C14" s="42" t="s">
        <v>149</v>
      </c>
      <c r="D14" s="10" t="n">
        <v>86</v>
      </c>
      <c r="E14" s="10" t="n">
        <v>22</v>
      </c>
      <c r="F14" s="43" t="n">
        <v>2</v>
      </c>
      <c r="G14" s="14" t="n">
        <v>705000</v>
      </c>
      <c r="H14" s="44" t="n">
        <f aca="false">G14/(1+TVA)</f>
        <v>587500</v>
      </c>
      <c r="I14" s="45" t="n">
        <f aca="false">IF(D14&gt;0,G14/D14,0)</f>
        <v>8197.67441860465</v>
      </c>
      <c r="J14" s="42" t="s">
        <v>140</v>
      </c>
      <c r="K14" s="46"/>
    </row>
    <row r="15" customFormat="false" ht="15" hidden="false" customHeight="false" outlineLevel="0" collapsed="false">
      <c r="A15" s="42" t="s">
        <v>151</v>
      </c>
      <c r="B15" s="42" t="s">
        <v>142</v>
      </c>
      <c r="C15" s="42" t="s">
        <v>152</v>
      </c>
      <c r="D15" s="10" t="n">
        <v>92</v>
      </c>
      <c r="E15" s="10" t="n">
        <v>40</v>
      </c>
      <c r="F15" s="43" t="n">
        <v>2</v>
      </c>
      <c r="G15" s="14" t="n">
        <v>820000</v>
      </c>
      <c r="H15" s="44" t="n">
        <f aca="false">G15/(1+TVA)</f>
        <v>683333.333333333</v>
      </c>
      <c r="I15" s="45" t="n">
        <f aca="false">IF(D15&gt;0,G15/D15,0)</f>
        <v>8913.04347826087</v>
      </c>
      <c r="J15" s="42" t="s">
        <v>145</v>
      </c>
      <c r="K15" s="46"/>
    </row>
    <row r="16" customFormat="false" ht="15" hidden="false" customHeight="false" outlineLevel="0" collapsed="false">
      <c r="A16" s="42" t="s">
        <v>153</v>
      </c>
      <c r="B16" s="42" t="s">
        <v>154</v>
      </c>
      <c r="C16" s="42" t="s">
        <v>152</v>
      </c>
      <c r="D16" s="10" t="n">
        <v>108</v>
      </c>
      <c r="E16" s="10" t="n">
        <v>48</v>
      </c>
      <c r="F16" s="43" t="n">
        <v>2</v>
      </c>
      <c r="G16" s="14" t="n">
        <v>960000</v>
      </c>
      <c r="H16" s="44" t="n">
        <f aca="false">G16/(1+TVA)</f>
        <v>800000</v>
      </c>
      <c r="I16" s="45" t="n">
        <f aca="false">IF(D16&gt;0,G16/D16,0)</f>
        <v>8888.88888888889</v>
      </c>
      <c r="J16" s="42" t="s">
        <v>134</v>
      </c>
      <c r="K16" s="46" t="n">
        <v>46212</v>
      </c>
    </row>
    <row r="17" customFormat="false" ht="15" hidden="false" customHeight="false" outlineLevel="0" collapsed="false">
      <c r="A17" s="22" t="s">
        <v>155</v>
      </c>
      <c r="B17" s="22"/>
      <c r="C17" s="22"/>
      <c r="D17" s="47" t="n">
        <f aca="false">SUM(D5:D16)</f>
        <v>852</v>
      </c>
      <c r="E17" s="47" t="n">
        <f aca="false">SUM(E5:E16)</f>
        <v>273</v>
      </c>
      <c r="F17" s="48" t="n">
        <f aca="false">SUM(F5:F16)</f>
        <v>17</v>
      </c>
      <c r="G17" s="49" t="n">
        <f aca="false">SUM(G5:G16)</f>
        <v>6815000</v>
      </c>
      <c r="H17" s="49" t="n">
        <f aca="false">SUM(H5:H16)</f>
        <v>5679166.66666667</v>
      </c>
      <c r="I17" s="50" t="n">
        <f aca="false">IF(D17&gt;0,G17/D17,0)</f>
        <v>7998.82629107981</v>
      </c>
      <c r="J17" s="22" t="str">
        <f aca="false">COUNTIF(J5:J16,"Acte signé")&amp;" actes, "&amp;COUNTIF(J5:J16,"Réservé")&amp;" réservés"</f>
        <v>6 actes, 3 réservés</v>
      </c>
      <c r="K17" s="51"/>
    </row>
    <row r="19" customFormat="false" ht="15" hidden="false" customHeight="false" outlineLevel="0" collapsed="false">
      <c r="A19" s="37" t="s">
        <v>156</v>
      </c>
      <c r="G19" s="38" t="n">
        <f aca="false">SUMIF(J5:J16,"Acte signé",G5:G16)</f>
        <v>3410000</v>
      </c>
    </row>
    <row r="20" customFormat="false" ht="15" hidden="false" customHeight="false" outlineLevel="0" collapsed="false">
      <c r="A20" s="37" t="s">
        <v>157</v>
      </c>
      <c r="G20" s="52" t="n">
        <f aca="false">IF(G17&gt;0,(SUMIF(J5:J16,"Acte signé",G5:G16)+SUMIF(J5:J16,"Réservé",G5:G16))/G17,0)</f>
        <v>0.751283932501834</v>
      </c>
    </row>
  </sheetData>
  <dataValidations count="1">
    <dataValidation allowBlank="true" errorStyle="stop" operator="between" showDropDown="false" showErrorMessage="false" showInputMessage="false" sqref="J5:J16" type="list">
      <formula1>"Disponible,Réservé,Acte signé"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3"/>
    <col collapsed="false" customWidth="true" hidden="false" outlineLevel="0" max="4" min="4" style="0" width="26"/>
    <col collapsed="false" customWidth="true" hidden="false" outlineLevel="0" max="6" min="5" style="0" width="17"/>
    <col collapsed="false" customWidth="true" hidden="false" outlineLevel="0" max="7" min="7" style="0" width="19"/>
    <col collapsed="false" customWidth="true" hidden="false" outlineLevel="0" max="8" min="8" style="0" width="15"/>
  </cols>
  <sheetData>
    <row r="1" customFormat="false" ht="24" hidden="false" customHeight="true" outlineLevel="0" collapsed="false">
      <c r="A1" s="1" t="s">
        <v>158</v>
      </c>
    </row>
    <row r="2" customFormat="false" ht="15" hidden="false" customHeight="false" outlineLevel="0" collapsed="false">
      <c r="A2" s="2" t="s">
        <v>159</v>
      </c>
    </row>
    <row r="3" customFormat="false" ht="15" hidden="false" customHeight="false" outlineLevel="0" collapsed="false">
      <c r="A3" s="39" t="s">
        <v>120</v>
      </c>
      <c r="B3" s="53" t="s">
        <v>141</v>
      </c>
      <c r="C3" s="39" t="s">
        <v>160</v>
      </c>
      <c r="D3" s="40" t="n">
        <f aca="false">IFERROR(INDEX('Grille de lots'!$G$5:$G$16,MATCH($B$3,'Grille de lots'!$A$5:$A$16,0)),0)</f>
        <v>650000</v>
      </c>
    </row>
    <row r="5" customFormat="false" ht="30" hidden="false" customHeight="true" outlineLevel="0" collapsed="false">
      <c r="A5" s="3" t="s">
        <v>161</v>
      </c>
      <c r="B5" s="4" t="s">
        <v>162</v>
      </c>
      <c r="C5" s="4" t="s">
        <v>163</v>
      </c>
      <c r="D5" s="4" t="s">
        <v>164</v>
      </c>
      <c r="E5" s="4" t="s">
        <v>165</v>
      </c>
      <c r="F5" s="4" t="s">
        <v>166</v>
      </c>
      <c r="G5" s="4" t="s">
        <v>167</v>
      </c>
      <c r="H5" s="4" t="s">
        <v>168</v>
      </c>
    </row>
    <row r="6" customFormat="false" ht="15" hidden="false" customHeight="false" outlineLevel="0" collapsed="false">
      <c r="A6" s="7" t="s">
        <v>169</v>
      </c>
      <c r="B6" s="54" t="n">
        <v>0.35</v>
      </c>
      <c r="C6" s="55" t="n">
        <v>0.35</v>
      </c>
      <c r="D6" s="7" t="str">
        <f aca="false">IF(B6&gt;C6,"Dépasse le plafond",IF(B6&lt;0,"Inférieur à l'étape précédente","Conforme"))</f>
        <v>Conforme</v>
      </c>
      <c r="E6" s="56" t="n">
        <f aca="false">ROUND($D$3*B6,2)</f>
        <v>227500</v>
      </c>
      <c r="F6" s="56" t="n">
        <f aca="false">E6-0</f>
        <v>227500</v>
      </c>
      <c r="G6" s="57" t="n">
        <f aca="false">ROUND(CA_TTC*B6,2)</f>
        <v>2385250</v>
      </c>
      <c r="H6" s="58" t="n">
        <v>46280</v>
      </c>
    </row>
    <row r="7" customFormat="false" ht="15" hidden="false" customHeight="false" outlineLevel="0" collapsed="false">
      <c r="A7" s="7" t="s">
        <v>170</v>
      </c>
      <c r="B7" s="54" t="n">
        <v>0.45</v>
      </c>
      <c r="C7" s="55" t="n">
        <v>0.7</v>
      </c>
      <c r="D7" s="7" t="str">
        <f aca="false">IF(B7&gt;C7,"Dépasse le plafond",IF(B7&lt;B6,"Inférieur à l'étape précédente","Conforme"))</f>
        <v>Conforme</v>
      </c>
      <c r="E7" s="56" t="n">
        <f aca="false">ROUND($D$3*B7,2)</f>
        <v>292500</v>
      </c>
      <c r="F7" s="56" t="n">
        <f aca="false">E7-E6</f>
        <v>65000</v>
      </c>
      <c r="G7" s="57" t="n">
        <f aca="false">ROUND(CA_TTC*B7,2)</f>
        <v>3066750</v>
      </c>
      <c r="H7" s="58" t="n">
        <v>46346</v>
      </c>
    </row>
    <row r="8" customFormat="false" ht="15" hidden="false" customHeight="false" outlineLevel="0" collapsed="false">
      <c r="A8" s="7" t="s">
        <v>171</v>
      </c>
      <c r="B8" s="54" t="n">
        <v>0.7</v>
      </c>
      <c r="C8" s="55" t="n">
        <v>0.7</v>
      </c>
      <c r="D8" s="7" t="str">
        <f aca="false">IF(B8&gt;C8,"Dépasse le plafond",IF(B8&lt;B7,"Inférieur à l'étape précédente","Conforme"))</f>
        <v>Conforme</v>
      </c>
      <c r="E8" s="56" t="n">
        <f aca="false">ROUND($D$3*B8,2)</f>
        <v>455000</v>
      </c>
      <c r="F8" s="56" t="n">
        <f aca="false">E8-E7</f>
        <v>162500</v>
      </c>
      <c r="G8" s="57" t="n">
        <f aca="false">ROUND(CA_TTC*B8,2)</f>
        <v>4770500</v>
      </c>
      <c r="H8" s="58" t="n">
        <v>46456</v>
      </c>
    </row>
    <row r="9" customFormat="false" ht="15" hidden="false" customHeight="false" outlineLevel="0" collapsed="false">
      <c r="A9" s="7" t="s">
        <v>172</v>
      </c>
      <c r="B9" s="54" t="n">
        <v>0.8</v>
      </c>
      <c r="C9" s="55" t="n">
        <v>0.95</v>
      </c>
      <c r="D9" s="7" t="str">
        <f aca="false">IF(B9&gt;C9,"Dépasse le plafond",IF(B9&lt;B8,"Inférieur à l'étape précédente","Conforme"))</f>
        <v>Conforme</v>
      </c>
      <c r="E9" s="56" t="n">
        <f aca="false">ROUND($D$3*B9,2)</f>
        <v>520000</v>
      </c>
      <c r="F9" s="56" t="n">
        <f aca="false">E9-E8</f>
        <v>65000</v>
      </c>
      <c r="G9" s="57" t="n">
        <f aca="false">ROUND(CA_TTC*B9,2)</f>
        <v>5452000</v>
      </c>
      <c r="H9" s="58" t="n">
        <v>46553</v>
      </c>
    </row>
    <row r="10" customFormat="false" ht="15" hidden="false" customHeight="false" outlineLevel="0" collapsed="false">
      <c r="A10" s="7" t="s">
        <v>173</v>
      </c>
      <c r="B10" s="54" t="n">
        <v>0.95</v>
      </c>
      <c r="C10" s="55" t="n">
        <v>0.95</v>
      </c>
      <c r="D10" s="7" t="str">
        <f aca="false">IF(B10&gt;C10,"Dépasse le plafond",IF(B10&lt;B9,"Inférieur à l'étape précédente","Conforme"))</f>
        <v>Conforme</v>
      </c>
      <c r="E10" s="56" t="n">
        <f aca="false">ROUND($D$3*B10,2)</f>
        <v>617500</v>
      </c>
      <c r="F10" s="56" t="n">
        <f aca="false">E10-E9</f>
        <v>97500</v>
      </c>
      <c r="G10" s="57" t="n">
        <f aca="false">ROUND(CA_TTC*B10,2)</f>
        <v>6474250</v>
      </c>
      <c r="H10" s="58" t="n">
        <v>46675</v>
      </c>
    </row>
    <row r="11" customFormat="false" ht="15" hidden="false" customHeight="false" outlineLevel="0" collapsed="false">
      <c r="A11" s="7" t="s">
        <v>174</v>
      </c>
      <c r="B11" s="55" t="n">
        <v>1</v>
      </c>
      <c r="C11" s="55" t="n">
        <v>1</v>
      </c>
      <c r="D11" s="7" t="str">
        <f aca="false">IF(B11&gt;C11,"Dépasse le plafond",IF(B11&lt;B10,"Inférieur à l'étape précédente","Conforme"))</f>
        <v>Conforme</v>
      </c>
      <c r="E11" s="56" t="n">
        <f aca="false">ROUND($D$3*B11,2)</f>
        <v>650000</v>
      </c>
      <c r="F11" s="56" t="n">
        <f aca="false">E11-E10</f>
        <v>32500</v>
      </c>
      <c r="G11" s="57" t="n">
        <f aca="false">ROUND(CA_TTC*B11,2)</f>
        <v>6815000</v>
      </c>
      <c r="H11" s="58" t="n">
        <v>46731</v>
      </c>
    </row>
    <row r="13" customFormat="false" ht="15" hidden="false" customHeight="false" outlineLevel="0" collapsed="false">
      <c r="A13" s="22" t="s">
        <v>175</v>
      </c>
      <c r="B13" s="59"/>
      <c r="C13" s="59"/>
      <c r="D13" s="59" t="str">
        <f aca="false">IF(ABS(F13-D3)&lt;0.01,"Égal au prix","Écart avec le prix")</f>
        <v>Égal au prix</v>
      </c>
      <c r="E13" s="59"/>
      <c r="F13" s="60" t="n">
        <f aca="false">SUM(F6:F11)</f>
        <v>650000</v>
      </c>
      <c r="G13" s="59"/>
      <c r="H13" s="59"/>
    </row>
    <row r="15" customFormat="false" ht="15" hidden="false" customHeight="false" outlineLevel="0" collapsed="false">
      <c r="A15" s="2" t="s">
        <v>176</v>
      </c>
    </row>
    <row r="16" customFormat="false" ht="15" hidden="false" customHeight="false" outlineLevel="0" collapsed="false">
      <c r="A16" s="2" t="s">
        <v>177</v>
      </c>
    </row>
    <row r="17" customFormat="false" ht="15" hidden="false" customHeight="false" outlineLevel="0" collapsed="false">
      <c r="A17" s="2" t="s">
        <v>178</v>
      </c>
    </row>
    <row r="18" customFormat="false" ht="15" hidden="false" customHeight="false" outlineLevel="0" collapsed="false">
      <c r="A18" s="2" t="s">
        <v>179</v>
      </c>
    </row>
  </sheetData>
  <dataValidations count="1">
    <dataValidation allowBlank="false" errorStyle="stop" operator="between" showDropDown="false" showErrorMessage="false" showInputMessage="false" sqref="B3" type="list">
      <formula1>'Grille de lots'!$A$5:$A$16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2026-10-03T11:17:04Z</dcterms:created>
  <dc:creator>CAP IMMO</dc:creator>
  <dc:description/>
  <dc:language>fr-FR</dc:language>
  <cp:lastModifiedBy/>
  <dcterms:modified xsi:type="dcterms:W3CDTF">2026-10-03T11:17:04Z</dcterms:modified>
  <cp:revision>0</cp:revision>
  <dc:subject>Bilan promoteur, grille de lots et échéancier VEFA — données d'exemple fictives</dc:subject>
  <dc:title>Modèle de bilan promoteur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